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<sst xmlns="http://schemas.openxmlformats.org/spreadsheetml/2006/main" count="210" uniqueCount="88">
  <si>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</si>
  <si>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</si>
  <si>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</si>
  <si>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</si>
  <si>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</si>
  <si>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</si>
  <si>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</si>
  <si>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</si>
  <si>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</si>
  <si>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</si>
  <si>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</si>
  <si>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</si>
  <si>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</si>
  <si>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</si>
  <si>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</si>
  <si>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</si>
  <si>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</si>
  <si>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</si>
  <si>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</si>
  <si>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</si>
  <si>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</si>
  <si>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</si>
  <si>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</si>
  <si>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</si>
  <si>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</si>
  <si>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</si>
  <si>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</si>
  <si>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</si>
  <si>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</si>
  <si>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</si>
  <si>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</si>
  <si>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</si>
  <si>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</si>
  <si>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</si>
  <si>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</si>
  <si>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</si>
  <si>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</si>
  <si>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</si>
  <si>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</si>
  <si>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</si>
  <si>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</si>
  <si>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</si>
  <si>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</si>
  <si>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</si>
  <si>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</si>
  <si>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</si>
  <si>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</si>
  <si>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</si>
  <si>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</si>
  <si>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</si>
  <si>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</si>
  <si>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</si>
  <si>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</si>
  <si>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</si>
  <si>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</si>
  <si>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</si>
  <si>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</si>
  <si>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</si>
  <si>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</si>
  <si>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</si>
  <si>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</si>
  <si>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</si>
  <si>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</si>
  <si>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</si>
  <si>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</si>
  <si>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</si>
  <si>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</si>
  <si>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</si>
  <si>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</si>
  <si>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</si>
  <si>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</si>
  <si>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</si>
  <si>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</si>
  <si>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</si>
  <si>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</si>
  <si>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</si>
  <si>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</si>
  <si>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</si>
  <si>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</si>
  <si>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</si>
  <si>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</si>
  <si>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</si>
  <si>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</si>
  <si>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Гл.инженер:                             Храмов М.Е.</t>
  </si>
  <si>
    <t>гвс</t>
  </si>
  <si>
    <t>Грибоедова 7/2</t>
  </si>
  <si>
    <t>ремонт</t>
  </si>
  <si>
    <t>Рапорт потребленной тепловой энергии домами,находящихся на обслуживании ООО "ЖЭЦ" за декабрь с 22.12 по 31.12 2016год.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</si>
</sst>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vertical="top"/>
    </xf>
    <xf numFmtId="1" fontId="0" fillId="24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1">
      <selection activeCell="S94" sqref="S94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15" t="s">
        <v>87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60" customHeight="1">
      <c r="A2" s="17" t="s">
        <v>0</v>
      </c>
      <c r="B2" s="18" t="s">
        <v>1</v>
      </c>
      <c r="C2" s="19" t="s">
        <v>2</v>
      </c>
      <c r="D2" s="14" t="s">
        <v>3</v>
      </c>
      <c r="E2" s="14"/>
      <c r="F2" s="14"/>
      <c r="G2" s="14"/>
      <c r="H2" s="14"/>
      <c r="I2" s="14" t="s">
        <v>4</v>
      </c>
      <c r="J2" s="14"/>
      <c r="K2" s="14"/>
      <c r="L2" s="14"/>
      <c r="M2" s="14" t="s">
        <v>5</v>
      </c>
      <c r="N2" s="14"/>
      <c r="O2" s="14"/>
      <c r="P2" s="14"/>
      <c r="Q2" s="14" t="s">
        <v>6</v>
      </c>
    </row>
    <row r="3" spans="1:17" ht="15" customHeight="1">
      <c r="A3" s="17"/>
      <c r="B3" s="18"/>
      <c r="C3" s="19"/>
      <c r="D3" s="13" t="s">
        <v>7</v>
      </c>
      <c r="E3" s="13"/>
      <c r="F3" s="13" t="s">
        <v>8</v>
      </c>
      <c r="G3" s="13"/>
      <c r="H3" s="1" t="s">
        <v>9</v>
      </c>
      <c r="I3" s="14" t="s">
        <v>10</v>
      </c>
      <c r="J3" s="14"/>
      <c r="K3" s="14" t="s">
        <v>11</v>
      </c>
      <c r="L3" s="14"/>
      <c r="M3" s="14" t="s">
        <v>12</v>
      </c>
      <c r="N3" s="14"/>
      <c r="O3" s="14"/>
      <c r="P3" s="14"/>
      <c r="Q3" s="14"/>
    </row>
    <row r="4" spans="1:17" ht="35.25" customHeight="1">
      <c r="A4" s="17"/>
      <c r="B4" s="18"/>
      <c r="C4" s="19"/>
      <c r="D4" s="14" t="s">
        <v>13</v>
      </c>
      <c r="E4" s="14" t="s">
        <v>14</v>
      </c>
      <c r="F4" s="14" t="s">
        <v>15</v>
      </c>
      <c r="G4" s="14" t="s">
        <v>14</v>
      </c>
      <c r="H4" s="14" t="s">
        <v>14</v>
      </c>
      <c r="I4" s="14" t="s">
        <v>16</v>
      </c>
      <c r="J4" s="14" t="s">
        <v>17</v>
      </c>
      <c r="K4" s="14" t="s">
        <v>16</v>
      </c>
      <c r="L4" s="14" t="s">
        <v>17</v>
      </c>
      <c r="M4" s="1" t="s">
        <v>16</v>
      </c>
      <c r="N4" s="1" t="s">
        <v>17</v>
      </c>
      <c r="O4" s="14" t="s">
        <v>18</v>
      </c>
      <c r="P4" s="14"/>
      <c r="Q4" s="14"/>
    </row>
    <row r="5" spans="1:17" ht="15">
      <c r="A5" s="17"/>
      <c r="B5" s="18"/>
      <c r="C5" s="19"/>
      <c r="D5" s="14"/>
      <c r="E5" s="14"/>
      <c r="F5" s="14"/>
      <c r="G5" s="14"/>
      <c r="H5" s="14"/>
      <c r="I5" s="14"/>
      <c r="J5" s="14"/>
      <c r="K5" s="14"/>
      <c r="L5" s="14"/>
      <c r="M5" s="1" t="s">
        <v>19</v>
      </c>
      <c r="N5" s="1" t="s">
        <v>19</v>
      </c>
      <c r="O5" s="1" t="s">
        <v>19</v>
      </c>
      <c r="P5" s="1" t="s">
        <v>20</v>
      </c>
      <c r="Q5" s="14"/>
    </row>
    <row r="6" spans="1:17" ht="15">
      <c r="A6" s="1">
        <v>1</v>
      </c>
      <c r="B6" s="2" t="s">
        <v>21</v>
      </c>
      <c r="C6" s="3" t="s">
        <v>22</v>
      </c>
      <c r="D6" s="4">
        <v>42726</v>
      </c>
      <c r="E6" s="5">
        <v>2781</v>
      </c>
      <c r="F6" s="4">
        <v>43100</v>
      </c>
      <c r="G6" s="5">
        <f>E6+100</f>
        <v>2881</v>
      </c>
      <c r="H6" s="5">
        <f>G6-E6</f>
        <v>100</v>
      </c>
      <c r="I6" s="5">
        <v>356654</v>
      </c>
      <c r="J6" s="5">
        <f>I6+14660</f>
        <v>371314</v>
      </c>
      <c r="K6" s="5">
        <v>364562</v>
      </c>
      <c r="L6" s="5">
        <f>K6+14930</f>
        <v>379492</v>
      </c>
      <c r="M6" s="6">
        <v>13420</v>
      </c>
      <c r="N6" s="6">
        <f>M6+264</f>
        <v>13684</v>
      </c>
      <c r="O6" s="6">
        <f>N6-M6</f>
        <v>264</v>
      </c>
      <c r="P6" s="6">
        <f>O6/24</f>
        <v>11</v>
      </c>
      <c r="Q6" s="5"/>
    </row>
    <row r="7" spans="1:17" ht="15">
      <c r="A7" s="1">
        <v>2</v>
      </c>
      <c r="B7" s="2" t="s">
        <v>21</v>
      </c>
      <c r="C7" s="3" t="s">
        <v>84</v>
      </c>
      <c r="D7" s="4">
        <v>42726</v>
      </c>
      <c r="E7" s="5">
        <v>1911</v>
      </c>
      <c r="F7" s="4">
        <v>43100</v>
      </c>
      <c r="G7" s="5">
        <f>E7+45</f>
        <v>1956</v>
      </c>
      <c r="H7" s="5">
        <f aca="true" t="shared" si="0" ref="H7:H70">G7-E7</f>
        <v>45</v>
      </c>
      <c r="I7" s="5">
        <v>106593</v>
      </c>
      <c r="J7" s="5">
        <f>I7+2385</f>
        <v>108978</v>
      </c>
      <c r="K7" s="5">
        <v>84055</v>
      </c>
      <c r="L7" s="5">
        <f>K7+1873</f>
        <v>85928</v>
      </c>
      <c r="M7" s="6">
        <v>13420</v>
      </c>
      <c r="N7" s="6">
        <f>M7+264</f>
        <v>13684</v>
      </c>
      <c r="O7" s="6">
        <f>N7-M7</f>
        <v>264</v>
      </c>
      <c r="P7" s="6">
        <f>O7/24</f>
        <v>11</v>
      </c>
      <c r="Q7" s="5">
        <f>(J7-I7)-(L7-K7)</f>
        <v>512</v>
      </c>
    </row>
    <row r="8" spans="1:17" ht="15">
      <c r="A8" s="1">
        <v>3</v>
      </c>
      <c r="B8" s="2" t="s">
        <v>85</v>
      </c>
      <c r="C8" s="3" t="s">
        <v>82</v>
      </c>
      <c r="D8" s="4">
        <v>42726</v>
      </c>
      <c r="E8" s="5">
        <v>2310</v>
      </c>
      <c r="F8" s="4">
        <v>43100</v>
      </c>
      <c r="G8" s="5">
        <f>E8+91</f>
        <v>2401</v>
      </c>
      <c r="H8" s="5">
        <f t="shared" si="0"/>
        <v>91</v>
      </c>
      <c r="I8" s="5">
        <v>216714</v>
      </c>
      <c r="J8" s="5">
        <f>I8+7873</f>
        <v>224587</v>
      </c>
      <c r="K8" s="5">
        <v>190769</v>
      </c>
      <c r="L8" s="5">
        <f>K8+7794</f>
        <v>198563</v>
      </c>
      <c r="M8" s="6">
        <v>11130</v>
      </c>
      <c r="N8" s="6">
        <f>M8+264</f>
        <v>11394</v>
      </c>
      <c r="O8" s="6">
        <f>N8-M8</f>
        <v>264</v>
      </c>
      <c r="P8" s="6">
        <f>O8/24</f>
        <v>11</v>
      </c>
      <c r="Q8" s="5"/>
    </row>
    <row r="9" spans="1:17" ht="15">
      <c r="A9" s="1">
        <v>4</v>
      </c>
      <c r="B9" s="2" t="s">
        <v>85</v>
      </c>
      <c r="C9" s="3" t="s">
        <v>84</v>
      </c>
      <c r="D9" s="4">
        <v>42726</v>
      </c>
      <c r="E9" s="11">
        <v>535</v>
      </c>
      <c r="F9" s="4">
        <v>43100</v>
      </c>
      <c r="G9" s="11">
        <f>E9+39</f>
        <v>574</v>
      </c>
      <c r="H9" s="5">
        <f t="shared" si="0"/>
        <v>39</v>
      </c>
      <c r="I9" s="5">
        <v>30286</v>
      </c>
      <c r="J9" s="5">
        <f>I9+2214</f>
        <v>32500</v>
      </c>
      <c r="K9" s="5">
        <v>24659</v>
      </c>
      <c r="L9" s="5">
        <f>K9+1825</f>
        <v>26484</v>
      </c>
      <c r="M9" s="6">
        <v>4103</v>
      </c>
      <c r="N9" s="6">
        <f>M9+264</f>
        <v>4367</v>
      </c>
      <c r="O9" s="6">
        <f>N9-M9</f>
        <v>264</v>
      </c>
      <c r="P9" s="6">
        <f>O9/24</f>
        <v>11</v>
      </c>
      <c r="Q9" s="5">
        <f>(J9-I9)-(L9-K9)</f>
        <v>389</v>
      </c>
    </row>
    <row r="10" spans="1:17" ht="15">
      <c r="A10" s="1">
        <v>5</v>
      </c>
      <c r="B10" s="2" t="s">
        <v>23</v>
      </c>
      <c r="C10" s="3" t="s">
        <v>22</v>
      </c>
      <c r="D10" s="4">
        <v>42726</v>
      </c>
      <c r="E10" s="5">
        <v>724</v>
      </c>
      <c r="F10" s="4">
        <v>43100</v>
      </c>
      <c r="G10" s="5">
        <f>E10+26</f>
        <v>750</v>
      </c>
      <c r="H10" s="5">
        <f t="shared" si="0"/>
        <v>26</v>
      </c>
      <c r="I10" s="5">
        <v>64187</v>
      </c>
      <c r="J10" s="5">
        <f>I10+2291</f>
        <v>66478</v>
      </c>
      <c r="K10" s="5">
        <v>64335</v>
      </c>
      <c r="L10" s="5">
        <f>K10+2282</f>
        <v>66617</v>
      </c>
      <c r="M10" s="6">
        <v>13419</v>
      </c>
      <c r="N10" s="6">
        <f aca="true" t="shared" si="1" ref="N10:N26">M10+264</f>
        <v>13683</v>
      </c>
      <c r="O10" s="6">
        <f aca="true" t="shared" si="2" ref="O10:O75">N10-M10</f>
        <v>264</v>
      </c>
      <c r="P10" s="6">
        <f aca="true" t="shared" si="3" ref="P10:P75">O10/24</f>
        <v>11</v>
      </c>
      <c r="Q10" s="5"/>
    </row>
    <row r="11" spans="1:17" ht="15">
      <c r="A11" s="1">
        <v>6</v>
      </c>
      <c r="B11" s="2" t="s">
        <v>24</v>
      </c>
      <c r="C11" s="3" t="s">
        <v>22</v>
      </c>
      <c r="D11" s="4">
        <v>42726</v>
      </c>
      <c r="E11" s="7">
        <v>1932</v>
      </c>
      <c r="F11" s="4">
        <v>43100</v>
      </c>
      <c r="G11" s="7">
        <f>E11+42</f>
        <v>1974</v>
      </c>
      <c r="H11" s="5">
        <f t="shared" si="0"/>
        <v>42</v>
      </c>
      <c r="I11" s="5">
        <v>265517</v>
      </c>
      <c r="J11" s="5">
        <f>I11+6053</f>
        <v>271570</v>
      </c>
      <c r="K11" s="5">
        <v>261807</v>
      </c>
      <c r="L11" s="5">
        <f>K11+6044</f>
        <v>267851</v>
      </c>
      <c r="M11" s="6">
        <v>22538</v>
      </c>
      <c r="N11" s="6">
        <f t="shared" si="1"/>
        <v>22802</v>
      </c>
      <c r="O11" s="6">
        <f t="shared" si="2"/>
        <v>264</v>
      </c>
      <c r="P11" s="6">
        <f t="shared" si="3"/>
        <v>11</v>
      </c>
      <c r="Q11" s="5"/>
    </row>
    <row r="12" spans="1:17" ht="15">
      <c r="A12" s="1">
        <v>7</v>
      </c>
      <c r="B12" s="2" t="s">
        <v>25</v>
      </c>
      <c r="C12" s="3" t="s">
        <v>22</v>
      </c>
      <c r="D12" s="4">
        <v>42726</v>
      </c>
      <c r="E12" s="5">
        <v>1313</v>
      </c>
      <c r="F12" s="4">
        <v>43100</v>
      </c>
      <c r="G12" s="5">
        <f>E12+28</f>
        <v>1341</v>
      </c>
      <c r="H12" s="5">
        <f t="shared" si="0"/>
        <v>28</v>
      </c>
      <c r="I12" s="5">
        <v>132330</v>
      </c>
      <c r="J12" s="5">
        <f>I12+2672</f>
        <v>135002</v>
      </c>
      <c r="K12" s="5">
        <v>131684</v>
      </c>
      <c r="L12" s="5">
        <f>K12+2706</f>
        <v>134390</v>
      </c>
      <c r="M12" s="6">
        <v>21794</v>
      </c>
      <c r="N12" s="6">
        <f t="shared" si="1"/>
        <v>22058</v>
      </c>
      <c r="O12" s="6">
        <f t="shared" si="2"/>
        <v>264</v>
      </c>
      <c r="P12" s="6">
        <f t="shared" si="3"/>
        <v>11</v>
      </c>
      <c r="Q12" s="5"/>
    </row>
    <row r="13" spans="1:17" ht="15">
      <c r="A13" s="1">
        <v>8</v>
      </c>
      <c r="B13" s="2" t="s">
        <v>25</v>
      </c>
      <c r="C13" s="3" t="s">
        <v>84</v>
      </c>
      <c r="D13" s="4">
        <v>42726</v>
      </c>
      <c r="E13" s="5">
        <v>836</v>
      </c>
      <c r="F13" s="4">
        <v>43100</v>
      </c>
      <c r="G13" s="5">
        <f>E13+11</f>
        <v>847</v>
      </c>
      <c r="H13" s="5">
        <f t="shared" si="0"/>
        <v>11</v>
      </c>
      <c r="I13" s="5">
        <v>30688</v>
      </c>
      <c r="J13" s="5">
        <f>I13+389</f>
        <v>31077</v>
      </c>
      <c r="K13" s="5">
        <v>22658</v>
      </c>
      <c r="L13" s="5">
        <f>K13+282</f>
        <v>22940</v>
      </c>
      <c r="M13" s="6">
        <v>21794</v>
      </c>
      <c r="N13" s="6">
        <f t="shared" si="1"/>
        <v>22058</v>
      </c>
      <c r="O13" s="6">
        <f t="shared" si="2"/>
        <v>264</v>
      </c>
      <c r="P13" s="6">
        <f t="shared" si="3"/>
        <v>11</v>
      </c>
      <c r="Q13" s="5">
        <f>(J13-I13)-(L13-K13)</f>
        <v>107</v>
      </c>
    </row>
    <row r="14" spans="1:17" ht="15">
      <c r="A14" s="1">
        <v>9</v>
      </c>
      <c r="B14" s="2" t="s">
        <v>81</v>
      </c>
      <c r="C14" s="3" t="s">
        <v>82</v>
      </c>
      <c r="D14" s="4">
        <v>42726</v>
      </c>
      <c r="E14" s="5">
        <v>1112</v>
      </c>
      <c r="F14" s="4">
        <v>43100</v>
      </c>
      <c r="G14" s="5">
        <f>E14+13</f>
        <v>1125</v>
      </c>
      <c r="H14" s="5">
        <f t="shared" si="0"/>
        <v>13</v>
      </c>
      <c r="I14" s="5">
        <v>165970</v>
      </c>
      <c r="J14" s="5">
        <f>I14+2251</f>
        <v>168221</v>
      </c>
      <c r="K14" s="5">
        <v>168827</v>
      </c>
      <c r="L14" s="5">
        <f>K14+3579</f>
        <v>172406</v>
      </c>
      <c r="M14" s="6">
        <v>21720</v>
      </c>
      <c r="N14" s="6">
        <f t="shared" si="1"/>
        <v>21984</v>
      </c>
      <c r="O14" s="6">
        <f t="shared" si="2"/>
        <v>264</v>
      </c>
      <c r="P14" s="6">
        <f t="shared" si="3"/>
        <v>11</v>
      </c>
      <c r="Q14" s="5"/>
    </row>
    <row r="15" spans="1:17" ht="15">
      <c r="A15" s="1">
        <v>10</v>
      </c>
      <c r="B15" s="2" t="s">
        <v>81</v>
      </c>
      <c r="C15" s="3" t="s">
        <v>84</v>
      </c>
      <c r="D15" s="4">
        <v>42726</v>
      </c>
      <c r="E15" s="5">
        <v>642</v>
      </c>
      <c r="F15" s="4">
        <v>43100</v>
      </c>
      <c r="G15" s="5">
        <f>E15+7</f>
        <v>649</v>
      </c>
      <c r="H15" s="5">
        <f t="shared" si="0"/>
        <v>7</v>
      </c>
      <c r="I15" s="5">
        <v>28969</v>
      </c>
      <c r="J15" s="5">
        <f>I15+356</f>
        <v>29325</v>
      </c>
      <c r="K15" s="5">
        <v>21539</v>
      </c>
      <c r="L15" s="5">
        <f>K15+262</f>
        <v>21801</v>
      </c>
      <c r="M15" s="6">
        <v>21720</v>
      </c>
      <c r="N15" s="6">
        <f t="shared" si="1"/>
        <v>21984</v>
      </c>
      <c r="O15" s="6">
        <f t="shared" si="2"/>
        <v>264</v>
      </c>
      <c r="P15" s="6">
        <f t="shared" si="3"/>
        <v>11</v>
      </c>
      <c r="Q15" s="5">
        <f>(J15-I15)-(L15-K15)</f>
        <v>94</v>
      </c>
    </row>
    <row r="16" spans="1:17" ht="15">
      <c r="A16" s="1">
        <v>11</v>
      </c>
      <c r="B16" s="2" t="s">
        <v>26</v>
      </c>
      <c r="C16" s="3" t="s">
        <v>22</v>
      </c>
      <c r="D16" s="4">
        <v>42726</v>
      </c>
      <c r="E16" s="5">
        <v>2103</v>
      </c>
      <c r="F16" s="4">
        <v>43100</v>
      </c>
      <c r="G16" s="5">
        <f>E16+48</f>
        <v>2151</v>
      </c>
      <c r="H16" s="5">
        <f t="shared" si="0"/>
        <v>48</v>
      </c>
      <c r="I16" s="5">
        <v>251467</v>
      </c>
      <c r="J16" s="5">
        <f>I16+5876</f>
        <v>257343</v>
      </c>
      <c r="K16" s="5">
        <v>254416</v>
      </c>
      <c r="L16" s="5">
        <f>K16+5892</f>
        <v>260308</v>
      </c>
      <c r="M16" s="6">
        <v>22518</v>
      </c>
      <c r="N16" s="6">
        <f t="shared" si="1"/>
        <v>22782</v>
      </c>
      <c r="O16" s="6">
        <f t="shared" si="2"/>
        <v>264</v>
      </c>
      <c r="P16" s="6">
        <f t="shared" si="3"/>
        <v>11</v>
      </c>
      <c r="Q16" s="5"/>
    </row>
    <row r="17" spans="1:17" ht="15">
      <c r="A17" s="1">
        <v>12</v>
      </c>
      <c r="B17" s="2" t="s">
        <v>27</v>
      </c>
      <c r="C17" s="3" t="s">
        <v>22</v>
      </c>
      <c r="D17" s="4">
        <v>42726</v>
      </c>
      <c r="E17" s="5">
        <v>2417</v>
      </c>
      <c r="F17" s="4">
        <v>43100</v>
      </c>
      <c r="G17" s="5">
        <f>E17+38</f>
        <v>2455</v>
      </c>
      <c r="H17" s="5">
        <f t="shared" si="0"/>
        <v>38</v>
      </c>
      <c r="I17" s="5">
        <v>257543</v>
      </c>
      <c r="J17" s="5">
        <f>I17+3887</f>
        <v>261430</v>
      </c>
      <c r="K17" s="5">
        <v>258788</v>
      </c>
      <c r="L17" s="5">
        <f>K17+3948</f>
        <v>262736</v>
      </c>
      <c r="M17" s="6">
        <v>31395</v>
      </c>
      <c r="N17" s="6">
        <f t="shared" si="1"/>
        <v>31659</v>
      </c>
      <c r="O17" s="6">
        <f t="shared" si="2"/>
        <v>264</v>
      </c>
      <c r="P17" s="6">
        <f t="shared" si="3"/>
        <v>11</v>
      </c>
      <c r="Q17" s="5"/>
    </row>
    <row r="18" spans="1:17" ht="15" customHeight="1">
      <c r="A18" s="1">
        <v>13</v>
      </c>
      <c r="B18" s="2" t="s">
        <v>28</v>
      </c>
      <c r="C18" s="3" t="s">
        <v>22</v>
      </c>
      <c r="D18" s="4">
        <v>42726</v>
      </c>
      <c r="E18" s="5">
        <v>917</v>
      </c>
      <c r="F18" s="4">
        <v>43100</v>
      </c>
      <c r="G18" s="5">
        <f>E18+33</f>
        <v>950</v>
      </c>
      <c r="H18" s="5">
        <f t="shared" si="0"/>
        <v>33</v>
      </c>
      <c r="I18" s="5">
        <v>75657</v>
      </c>
      <c r="J18" s="5">
        <f>I18+2480</f>
        <v>78137</v>
      </c>
      <c r="K18" s="5">
        <v>76133</v>
      </c>
      <c r="L18" s="5">
        <f>K18+2505</f>
        <v>78638</v>
      </c>
      <c r="M18" s="6">
        <v>13419</v>
      </c>
      <c r="N18" s="6">
        <f t="shared" si="1"/>
        <v>13683</v>
      </c>
      <c r="O18" s="6">
        <f t="shared" si="2"/>
        <v>264</v>
      </c>
      <c r="P18" s="6">
        <f t="shared" si="3"/>
        <v>11</v>
      </c>
      <c r="Q18" s="5"/>
    </row>
    <row r="19" spans="1:17" ht="15">
      <c r="A19" s="1">
        <v>14</v>
      </c>
      <c r="B19" s="2" t="s">
        <v>79</v>
      </c>
      <c r="C19" s="3" t="s">
        <v>22</v>
      </c>
      <c r="D19" s="4">
        <v>42726</v>
      </c>
      <c r="E19" s="5">
        <v>3532</v>
      </c>
      <c r="F19" s="4">
        <v>43100</v>
      </c>
      <c r="G19" s="5">
        <f>E19+32</f>
        <v>3564</v>
      </c>
      <c r="H19" s="5">
        <f t="shared" si="0"/>
        <v>32</v>
      </c>
      <c r="I19" s="5">
        <v>290177</v>
      </c>
      <c r="J19" s="5">
        <f>I19+2393</f>
        <v>292570</v>
      </c>
      <c r="K19" s="5"/>
      <c r="L19" s="5"/>
      <c r="M19" s="6">
        <v>44583</v>
      </c>
      <c r="N19" s="6">
        <f t="shared" si="1"/>
        <v>44847</v>
      </c>
      <c r="O19" s="6">
        <f t="shared" si="2"/>
        <v>264</v>
      </c>
      <c r="P19" s="6">
        <f t="shared" si="3"/>
        <v>11</v>
      </c>
      <c r="Q19" s="5"/>
    </row>
    <row r="20" spans="1:17" ht="15">
      <c r="A20" s="1">
        <v>15</v>
      </c>
      <c r="B20" s="2" t="s">
        <v>79</v>
      </c>
      <c r="C20" s="3" t="s">
        <v>84</v>
      </c>
      <c r="D20" s="4">
        <v>42726</v>
      </c>
      <c r="E20" s="5">
        <v>2284</v>
      </c>
      <c r="F20" s="4">
        <v>43100</v>
      </c>
      <c r="G20" s="5">
        <f>E20+12</f>
        <v>2296</v>
      </c>
      <c r="H20" s="5">
        <f t="shared" si="0"/>
        <v>12</v>
      </c>
      <c r="I20" s="5">
        <v>128782</v>
      </c>
      <c r="J20" s="5">
        <f>I20+529</f>
        <v>129311</v>
      </c>
      <c r="K20" s="5">
        <v>107167</v>
      </c>
      <c r="L20" s="5">
        <f>K20+395</f>
        <v>107562</v>
      </c>
      <c r="M20" s="6">
        <v>45864</v>
      </c>
      <c r="N20" s="6">
        <f t="shared" si="1"/>
        <v>46128</v>
      </c>
      <c r="O20" s="6">
        <f t="shared" si="2"/>
        <v>264</v>
      </c>
      <c r="P20" s="6">
        <f t="shared" si="3"/>
        <v>11</v>
      </c>
      <c r="Q20" s="5">
        <f>(J20-I20)-(L20-K20)</f>
        <v>134</v>
      </c>
    </row>
    <row r="21" spans="1:17" ht="15">
      <c r="A21" s="1">
        <v>16</v>
      </c>
      <c r="B21" s="2" t="s">
        <v>29</v>
      </c>
      <c r="C21" s="3" t="s">
        <v>22</v>
      </c>
      <c r="D21" s="4">
        <v>42726</v>
      </c>
      <c r="E21" s="5">
        <v>2345</v>
      </c>
      <c r="F21" s="4">
        <v>43100</v>
      </c>
      <c r="G21" s="5">
        <f>E21+37</f>
        <v>2382</v>
      </c>
      <c r="H21" s="5">
        <f t="shared" si="0"/>
        <v>37</v>
      </c>
      <c r="I21" s="5">
        <v>306123</v>
      </c>
      <c r="J21" s="5">
        <f>I21+4731</f>
        <v>310854</v>
      </c>
      <c r="K21" s="5">
        <v>309268</v>
      </c>
      <c r="L21" s="5">
        <f>K21+4767</f>
        <v>314035</v>
      </c>
      <c r="M21" s="6">
        <v>31395</v>
      </c>
      <c r="N21" s="6">
        <f t="shared" si="1"/>
        <v>31659</v>
      </c>
      <c r="O21" s="6">
        <f t="shared" si="2"/>
        <v>264</v>
      </c>
      <c r="P21" s="6">
        <f t="shared" si="3"/>
        <v>11</v>
      </c>
      <c r="Q21" s="5"/>
    </row>
    <row r="22" spans="1:17" ht="15">
      <c r="A22" s="1">
        <v>17</v>
      </c>
      <c r="B22" s="2" t="s">
        <v>30</v>
      </c>
      <c r="C22" s="3" t="s">
        <v>22</v>
      </c>
      <c r="D22" s="4">
        <v>42726</v>
      </c>
      <c r="E22" s="5">
        <v>788</v>
      </c>
      <c r="F22" s="4">
        <v>43100</v>
      </c>
      <c r="G22" s="5">
        <f>E22+30</f>
        <v>818</v>
      </c>
      <c r="H22" s="5">
        <f t="shared" si="0"/>
        <v>30</v>
      </c>
      <c r="I22" s="5">
        <v>84171</v>
      </c>
      <c r="J22" s="5">
        <f>I22+2927</f>
        <v>87098</v>
      </c>
      <c r="K22" s="5">
        <v>81733</v>
      </c>
      <c r="L22" s="5">
        <f>K22+2877</f>
        <v>84610</v>
      </c>
      <c r="M22" s="6">
        <v>13420</v>
      </c>
      <c r="N22" s="6">
        <f t="shared" si="1"/>
        <v>13684</v>
      </c>
      <c r="O22" s="6">
        <f t="shared" si="2"/>
        <v>264</v>
      </c>
      <c r="P22" s="6">
        <f t="shared" si="3"/>
        <v>11</v>
      </c>
      <c r="Q22" s="5"/>
    </row>
    <row r="23" spans="1:17" ht="15">
      <c r="A23" s="1">
        <v>18</v>
      </c>
      <c r="B23" s="2" t="s">
        <v>30</v>
      </c>
      <c r="C23" s="3" t="s">
        <v>84</v>
      </c>
      <c r="D23" s="4">
        <v>42726</v>
      </c>
      <c r="E23" s="5">
        <v>563</v>
      </c>
      <c r="F23" s="4">
        <v>43100</v>
      </c>
      <c r="G23" s="5">
        <f>E23+13</f>
        <v>576</v>
      </c>
      <c r="H23" s="5">
        <f t="shared" si="0"/>
        <v>13</v>
      </c>
      <c r="I23" s="5">
        <v>19503</v>
      </c>
      <c r="J23" s="5">
        <f>I23+462</f>
        <v>19965</v>
      </c>
      <c r="K23" s="5">
        <v>12266</v>
      </c>
      <c r="L23" s="5">
        <f>K23+286</f>
        <v>12552</v>
      </c>
      <c r="M23" s="6">
        <v>13420</v>
      </c>
      <c r="N23" s="6">
        <f t="shared" si="1"/>
        <v>13684</v>
      </c>
      <c r="O23" s="6">
        <f t="shared" si="2"/>
        <v>264</v>
      </c>
      <c r="P23" s="6">
        <f t="shared" si="3"/>
        <v>11</v>
      </c>
      <c r="Q23" s="5">
        <f>(J23-I23)-(L23-K23)</f>
        <v>176</v>
      </c>
    </row>
    <row r="24" spans="1:17" ht="15">
      <c r="A24" s="1">
        <v>19</v>
      </c>
      <c r="B24" s="2" t="s">
        <v>31</v>
      </c>
      <c r="C24" s="3" t="s">
        <v>22</v>
      </c>
      <c r="D24" s="4">
        <v>42726</v>
      </c>
      <c r="E24" s="5">
        <v>1680</v>
      </c>
      <c r="F24" s="4">
        <v>43100</v>
      </c>
      <c r="G24" s="5">
        <f>E24+41</f>
        <v>1721</v>
      </c>
      <c r="H24" s="5">
        <f t="shared" si="0"/>
        <v>41</v>
      </c>
      <c r="I24" s="5">
        <v>120059</v>
      </c>
      <c r="J24" s="5">
        <f>I24+2353</f>
        <v>122412</v>
      </c>
      <c r="K24" s="5">
        <v>120963</v>
      </c>
      <c r="L24" s="5">
        <f>K24+2388</f>
        <v>123351</v>
      </c>
      <c r="M24" s="6">
        <v>22524</v>
      </c>
      <c r="N24" s="6">
        <f t="shared" si="1"/>
        <v>22788</v>
      </c>
      <c r="O24" s="6">
        <f t="shared" si="2"/>
        <v>264</v>
      </c>
      <c r="P24" s="6">
        <f t="shared" si="3"/>
        <v>11</v>
      </c>
      <c r="Q24" s="5"/>
    </row>
    <row r="25" spans="1:17" ht="15">
      <c r="A25" s="1">
        <v>20</v>
      </c>
      <c r="B25" s="2" t="s">
        <v>32</v>
      </c>
      <c r="C25" s="3" t="s">
        <v>22</v>
      </c>
      <c r="D25" s="4">
        <v>42726</v>
      </c>
      <c r="E25" s="5">
        <v>1174</v>
      </c>
      <c r="F25" s="4">
        <v>43100</v>
      </c>
      <c r="G25" s="5">
        <f>E25+46</f>
        <v>1220</v>
      </c>
      <c r="H25" s="5">
        <f t="shared" si="0"/>
        <v>46</v>
      </c>
      <c r="I25" s="5">
        <v>139865</v>
      </c>
      <c r="J25" s="5">
        <f>I25+4705</f>
        <v>144570</v>
      </c>
      <c r="K25" s="5">
        <v>140913</v>
      </c>
      <c r="L25" s="5">
        <f>K25+4769</f>
        <v>145682</v>
      </c>
      <c r="M25" s="6">
        <v>13316</v>
      </c>
      <c r="N25" s="6">
        <f t="shared" si="1"/>
        <v>13580</v>
      </c>
      <c r="O25" s="6">
        <f t="shared" si="2"/>
        <v>264</v>
      </c>
      <c r="P25" s="6">
        <f t="shared" si="3"/>
        <v>11</v>
      </c>
      <c r="Q25" s="5"/>
    </row>
    <row r="26" spans="1:17" ht="15">
      <c r="A26" s="1">
        <v>21</v>
      </c>
      <c r="B26" s="2" t="s">
        <v>33</v>
      </c>
      <c r="C26" s="3" t="s">
        <v>22</v>
      </c>
      <c r="D26" s="4">
        <v>42726</v>
      </c>
      <c r="E26" s="5">
        <v>1814</v>
      </c>
      <c r="F26" s="4">
        <v>43100</v>
      </c>
      <c r="G26" s="5">
        <f>E26+40</f>
        <v>1854</v>
      </c>
      <c r="H26" s="5">
        <f t="shared" si="0"/>
        <v>40</v>
      </c>
      <c r="I26" s="5">
        <v>303412</v>
      </c>
      <c r="J26" s="5">
        <f>I26+6583</f>
        <v>309995</v>
      </c>
      <c r="K26" s="5">
        <v>299949</v>
      </c>
      <c r="L26" s="5">
        <f>K26+6508</f>
        <v>306457</v>
      </c>
      <c r="M26" s="6">
        <v>21888</v>
      </c>
      <c r="N26" s="6">
        <f t="shared" si="1"/>
        <v>22152</v>
      </c>
      <c r="O26" s="6">
        <f t="shared" si="2"/>
        <v>264</v>
      </c>
      <c r="P26" s="6">
        <f t="shared" si="3"/>
        <v>11</v>
      </c>
      <c r="Q26" s="5"/>
    </row>
    <row r="27" spans="1:17" ht="15">
      <c r="A27" s="1">
        <v>22</v>
      </c>
      <c r="B27" s="2" t="s">
        <v>34</v>
      </c>
      <c r="C27" s="3" t="s">
        <v>22</v>
      </c>
      <c r="D27" s="4">
        <v>42726</v>
      </c>
      <c r="E27" s="5">
        <v>1812</v>
      </c>
      <c r="F27" s="4">
        <v>43100</v>
      </c>
      <c r="G27" s="5">
        <f>E27+29</f>
        <v>1841</v>
      </c>
      <c r="H27" s="5">
        <f t="shared" si="0"/>
        <v>29</v>
      </c>
      <c r="I27" s="5">
        <v>182502</v>
      </c>
      <c r="J27" s="5">
        <f>I27+3110</f>
        <v>185612</v>
      </c>
      <c r="K27" s="5">
        <v>185146</v>
      </c>
      <c r="L27" s="5">
        <f>K27+3123</f>
        <v>188269</v>
      </c>
      <c r="M27" s="6">
        <v>31277</v>
      </c>
      <c r="N27" s="6">
        <f>M27+264</f>
        <v>31541</v>
      </c>
      <c r="O27" s="6">
        <f t="shared" si="2"/>
        <v>264</v>
      </c>
      <c r="P27" s="6">
        <f t="shared" si="3"/>
        <v>11</v>
      </c>
      <c r="Q27" s="5"/>
    </row>
    <row r="28" spans="1:17" ht="15">
      <c r="A28" s="1">
        <v>23</v>
      </c>
      <c r="B28" s="2" t="s">
        <v>35</v>
      </c>
      <c r="C28" s="3" t="s">
        <v>22</v>
      </c>
      <c r="D28" s="4">
        <v>42726</v>
      </c>
      <c r="E28" s="5">
        <v>87</v>
      </c>
      <c r="F28" s="4">
        <v>43100</v>
      </c>
      <c r="G28" s="5">
        <f>E28+11</f>
        <v>98</v>
      </c>
      <c r="H28" s="5">
        <f t="shared" si="0"/>
        <v>11</v>
      </c>
      <c r="I28" s="5">
        <v>7453</v>
      </c>
      <c r="J28" s="5">
        <f>I28+1153</f>
        <v>8606</v>
      </c>
      <c r="K28" s="5">
        <v>7496</v>
      </c>
      <c r="L28" s="5">
        <f>K28+1183</f>
        <v>8679</v>
      </c>
      <c r="M28" s="6">
        <v>4823</v>
      </c>
      <c r="N28" s="6">
        <f>M28+264</f>
        <v>5087</v>
      </c>
      <c r="O28" s="6">
        <f t="shared" si="2"/>
        <v>264</v>
      </c>
      <c r="P28" s="6">
        <f t="shared" si="3"/>
        <v>11</v>
      </c>
      <c r="Q28" s="5"/>
    </row>
    <row r="29" spans="1:17" ht="15">
      <c r="A29" s="1">
        <v>24</v>
      </c>
      <c r="B29" s="2" t="s">
        <v>36</v>
      </c>
      <c r="C29" s="3" t="s">
        <v>22</v>
      </c>
      <c r="D29" s="4">
        <v>42726</v>
      </c>
      <c r="E29" s="5">
        <v>384</v>
      </c>
      <c r="F29" s="4">
        <v>43100</v>
      </c>
      <c r="G29" s="5">
        <f>E29+48</f>
        <v>432</v>
      </c>
      <c r="H29" s="5">
        <f t="shared" si="0"/>
        <v>48</v>
      </c>
      <c r="I29" s="5">
        <v>36836</v>
      </c>
      <c r="J29" s="5">
        <f>I29+4675</f>
        <v>41511</v>
      </c>
      <c r="K29" s="5">
        <v>32472</v>
      </c>
      <c r="L29" s="5">
        <f>K29+4830</f>
        <v>37302</v>
      </c>
      <c r="M29" s="6">
        <v>4823</v>
      </c>
      <c r="N29" s="6">
        <f>M29+264</f>
        <v>5087</v>
      </c>
      <c r="O29" s="6">
        <f t="shared" si="2"/>
        <v>264</v>
      </c>
      <c r="P29" s="6">
        <f t="shared" si="3"/>
        <v>11</v>
      </c>
      <c r="Q29" s="5"/>
    </row>
    <row r="30" spans="1:17" ht="15">
      <c r="A30" s="1">
        <v>25</v>
      </c>
      <c r="B30" s="2" t="s">
        <v>37</v>
      </c>
      <c r="C30" s="3" t="s">
        <v>22</v>
      </c>
      <c r="D30" s="4">
        <v>42726</v>
      </c>
      <c r="E30" s="5">
        <v>1101</v>
      </c>
      <c r="F30" s="4">
        <v>43100</v>
      </c>
      <c r="G30" s="5">
        <f>E30+40</f>
        <v>1141</v>
      </c>
      <c r="H30" s="5">
        <f t="shared" si="0"/>
        <v>40</v>
      </c>
      <c r="I30" s="5">
        <v>158989</v>
      </c>
      <c r="J30" s="5">
        <f>I30+5715</f>
        <v>164704</v>
      </c>
      <c r="K30" s="5">
        <v>151102</v>
      </c>
      <c r="L30" s="5">
        <f>K30+5751</f>
        <v>156853</v>
      </c>
      <c r="M30" s="6">
        <v>13419</v>
      </c>
      <c r="N30" s="6">
        <f>M30+264</f>
        <v>13683</v>
      </c>
      <c r="O30" s="6">
        <f t="shared" si="2"/>
        <v>264</v>
      </c>
      <c r="P30" s="6">
        <f t="shared" si="3"/>
        <v>11</v>
      </c>
      <c r="Q30" s="5"/>
    </row>
    <row r="31" spans="1:17" ht="15">
      <c r="A31" s="1">
        <v>26</v>
      </c>
      <c r="B31" s="2" t="s">
        <v>38</v>
      </c>
      <c r="C31" s="3" t="s">
        <v>22</v>
      </c>
      <c r="D31" s="4">
        <v>42726</v>
      </c>
      <c r="E31" s="8">
        <v>657</v>
      </c>
      <c r="F31" s="4">
        <v>43100</v>
      </c>
      <c r="G31" s="8">
        <v>715</v>
      </c>
      <c r="H31" s="5">
        <f t="shared" si="0"/>
        <v>58</v>
      </c>
      <c r="I31" s="5">
        <v>68709</v>
      </c>
      <c r="J31" s="5">
        <v>73535</v>
      </c>
      <c r="K31" s="5"/>
      <c r="L31" s="5"/>
      <c r="M31" s="6">
        <v>11387</v>
      </c>
      <c r="N31" s="6">
        <v>11635</v>
      </c>
      <c r="O31" s="6">
        <f t="shared" si="2"/>
        <v>248</v>
      </c>
      <c r="P31" s="6">
        <f>O31/24</f>
        <v>10.333333333333334</v>
      </c>
      <c r="Q31" s="5"/>
    </row>
    <row r="32" spans="1:17" ht="15">
      <c r="A32" s="1">
        <v>27</v>
      </c>
      <c r="B32" s="2" t="s">
        <v>38</v>
      </c>
      <c r="C32" s="3" t="s">
        <v>84</v>
      </c>
      <c r="D32" s="4">
        <v>42726</v>
      </c>
      <c r="E32" s="8">
        <v>727</v>
      </c>
      <c r="F32" s="4">
        <v>43100</v>
      </c>
      <c r="G32" s="8">
        <f>E32+9</f>
        <v>736</v>
      </c>
      <c r="H32" s="5">
        <f t="shared" si="0"/>
        <v>9</v>
      </c>
      <c r="I32" s="5">
        <v>48217</v>
      </c>
      <c r="J32" s="5">
        <f>I32+578</f>
        <v>48795</v>
      </c>
      <c r="K32" s="5">
        <v>41326</v>
      </c>
      <c r="L32" s="5">
        <f>K32+477</f>
        <v>41803</v>
      </c>
      <c r="M32" s="6">
        <v>20261</v>
      </c>
      <c r="N32" s="6">
        <f aca="true" t="shared" si="4" ref="N32:N38">M32+264</f>
        <v>20525</v>
      </c>
      <c r="O32" s="6">
        <f>N32-M32</f>
        <v>264</v>
      </c>
      <c r="P32" s="6">
        <f>O32/24</f>
        <v>11</v>
      </c>
      <c r="Q32" s="5">
        <f>(J32-I32)-(L32-K32)</f>
        <v>101</v>
      </c>
    </row>
    <row r="33" spans="1:17" ht="15">
      <c r="A33" s="1">
        <v>28</v>
      </c>
      <c r="B33" s="2" t="s">
        <v>39</v>
      </c>
      <c r="C33" s="3" t="s">
        <v>22</v>
      </c>
      <c r="D33" s="4">
        <v>42726</v>
      </c>
      <c r="E33" s="5">
        <v>1581</v>
      </c>
      <c r="F33" s="4">
        <v>43100</v>
      </c>
      <c r="G33" s="5">
        <f>E33+26</f>
        <v>1607</v>
      </c>
      <c r="H33" s="5">
        <f t="shared" si="0"/>
        <v>26</v>
      </c>
      <c r="I33" s="5">
        <v>155448</v>
      </c>
      <c r="J33" s="5">
        <f>I33+2578</f>
        <v>158026</v>
      </c>
      <c r="K33" s="5">
        <v>155652</v>
      </c>
      <c r="L33" s="5">
        <f>K33+2580</f>
        <v>158232</v>
      </c>
      <c r="M33" s="6">
        <v>30962</v>
      </c>
      <c r="N33" s="6">
        <f t="shared" si="4"/>
        <v>31226</v>
      </c>
      <c r="O33" s="6">
        <f t="shared" si="2"/>
        <v>264</v>
      </c>
      <c r="P33" s="6">
        <f t="shared" si="3"/>
        <v>11</v>
      </c>
      <c r="Q33" s="5"/>
    </row>
    <row r="34" spans="1:17" ht="15">
      <c r="A34" s="1">
        <v>29</v>
      </c>
      <c r="B34" s="2" t="s">
        <v>39</v>
      </c>
      <c r="C34" s="3" t="s">
        <v>84</v>
      </c>
      <c r="D34" s="4">
        <v>42726</v>
      </c>
      <c r="E34" s="5">
        <v>770</v>
      </c>
      <c r="F34" s="4">
        <v>43100</v>
      </c>
      <c r="G34" s="5">
        <f>E34+12</f>
        <v>782</v>
      </c>
      <c r="H34" s="5">
        <f t="shared" si="0"/>
        <v>12</v>
      </c>
      <c r="I34" s="5">
        <v>67615</v>
      </c>
      <c r="J34" s="5">
        <f>I34+1060</f>
        <v>68675</v>
      </c>
      <c r="K34" s="5">
        <v>60878</v>
      </c>
      <c r="L34" s="5">
        <f>K34+956</f>
        <v>61834</v>
      </c>
      <c r="M34" s="6">
        <v>18023</v>
      </c>
      <c r="N34" s="6">
        <f t="shared" si="4"/>
        <v>18287</v>
      </c>
      <c r="O34" s="6">
        <f t="shared" si="2"/>
        <v>264</v>
      </c>
      <c r="P34" s="6">
        <f t="shared" si="3"/>
        <v>11</v>
      </c>
      <c r="Q34" s="5">
        <f aca="true" t="shared" si="5" ref="Q34:Q42">(J34-I34)-(L34-K34)</f>
        <v>104</v>
      </c>
    </row>
    <row r="35" spans="1:17" ht="15" customHeight="1">
      <c r="A35" s="1">
        <v>30</v>
      </c>
      <c r="B35" s="2" t="s">
        <v>40</v>
      </c>
      <c r="C35" s="3" t="s">
        <v>22</v>
      </c>
      <c r="D35" s="4">
        <v>42726</v>
      </c>
      <c r="E35" s="5">
        <v>235</v>
      </c>
      <c r="F35" s="4">
        <v>43100</v>
      </c>
      <c r="G35" s="5">
        <f>E35+29</f>
        <v>264</v>
      </c>
      <c r="H35" s="5">
        <f t="shared" si="0"/>
        <v>29</v>
      </c>
      <c r="I35" s="5">
        <v>27700</v>
      </c>
      <c r="J35" s="5">
        <f>I35+3404</f>
        <v>31104</v>
      </c>
      <c r="K35" s="5">
        <v>6298</v>
      </c>
      <c r="L35" s="5">
        <f>K35+3424</f>
        <v>9722</v>
      </c>
      <c r="M35" s="6">
        <v>4823</v>
      </c>
      <c r="N35" s="6">
        <f t="shared" si="4"/>
        <v>5087</v>
      </c>
      <c r="O35" s="6">
        <f t="shared" si="2"/>
        <v>264</v>
      </c>
      <c r="P35" s="6">
        <f t="shared" si="3"/>
        <v>11</v>
      </c>
      <c r="Q35" s="5"/>
    </row>
    <row r="36" spans="1:17" ht="15" customHeight="1">
      <c r="A36" s="1">
        <v>31</v>
      </c>
      <c r="B36" s="2" t="s">
        <v>40</v>
      </c>
      <c r="C36" s="3" t="s">
        <v>84</v>
      </c>
      <c r="D36" s="4">
        <v>42726</v>
      </c>
      <c r="E36" s="5">
        <v>137</v>
      </c>
      <c r="F36" s="4">
        <v>43100</v>
      </c>
      <c r="G36" s="5">
        <f>E36+10</f>
        <v>147</v>
      </c>
      <c r="H36" s="5">
        <f t="shared" si="0"/>
        <v>10</v>
      </c>
      <c r="I36" s="5">
        <v>11302</v>
      </c>
      <c r="J36" s="5">
        <f>I36+868</f>
        <v>12170</v>
      </c>
      <c r="K36" s="5">
        <v>9971</v>
      </c>
      <c r="L36" s="5">
        <f>K36+769</f>
        <v>10740</v>
      </c>
      <c r="M36" s="6">
        <v>4823</v>
      </c>
      <c r="N36" s="6">
        <f t="shared" si="4"/>
        <v>5087</v>
      </c>
      <c r="O36" s="6">
        <f t="shared" si="2"/>
        <v>264</v>
      </c>
      <c r="P36" s="6">
        <f t="shared" si="3"/>
        <v>11</v>
      </c>
      <c r="Q36" s="5">
        <f t="shared" si="5"/>
        <v>99</v>
      </c>
    </row>
    <row r="37" spans="1:17" ht="14.25" customHeight="1">
      <c r="A37" s="1">
        <v>32</v>
      </c>
      <c r="B37" s="2" t="s">
        <v>41</v>
      </c>
      <c r="C37" s="3" t="s">
        <v>22</v>
      </c>
      <c r="D37" s="4">
        <v>42726</v>
      </c>
      <c r="E37" s="5">
        <v>2324</v>
      </c>
      <c r="F37" s="4">
        <v>43100</v>
      </c>
      <c r="G37" s="5">
        <f>E37+53</f>
        <v>2377</v>
      </c>
      <c r="H37" s="5">
        <f t="shared" si="0"/>
        <v>53</v>
      </c>
      <c r="I37" s="5">
        <v>224520</v>
      </c>
      <c r="J37" s="5">
        <f>I37+5157</f>
        <v>229677</v>
      </c>
      <c r="K37" s="5">
        <v>226387</v>
      </c>
      <c r="L37" s="5">
        <f>K37+5219</f>
        <v>231606</v>
      </c>
      <c r="M37" s="6">
        <v>21862</v>
      </c>
      <c r="N37" s="6">
        <f t="shared" si="4"/>
        <v>22126</v>
      </c>
      <c r="O37" s="6">
        <f t="shared" si="2"/>
        <v>264</v>
      </c>
      <c r="P37" s="6">
        <f t="shared" si="3"/>
        <v>11</v>
      </c>
      <c r="Q37" s="5"/>
    </row>
    <row r="38" spans="1:17" ht="14.25" customHeight="1">
      <c r="A38" s="1">
        <v>33</v>
      </c>
      <c r="B38" s="2" t="s">
        <v>41</v>
      </c>
      <c r="C38" s="3" t="s">
        <v>84</v>
      </c>
      <c r="D38" s="4">
        <v>42726</v>
      </c>
      <c r="E38" s="5">
        <v>1691</v>
      </c>
      <c r="F38" s="4">
        <v>43100</v>
      </c>
      <c r="G38" s="5">
        <f>E38+22</f>
        <v>1713</v>
      </c>
      <c r="H38" s="5">
        <f t="shared" si="0"/>
        <v>22</v>
      </c>
      <c r="I38" s="5">
        <v>105152</v>
      </c>
      <c r="J38" s="5">
        <f>I38+1461</f>
        <v>106613</v>
      </c>
      <c r="K38" s="5">
        <v>90697</v>
      </c>
      <c r="L38" s="5">
        <f>K38+1291</f>
        <v>91988</v>
      </c>
      <c r="M38" s="6">
        <v>21862</v>
      </c>
      <c r="N38" s="6">
        <f t="shared" si="4"/>
        <v>22126</v>
      </c>
      <c r="O38" s="6">
        <f t="shared" si="2"/>
        <v>264</v>
      </c>
      <c r="P38" s="6">
        <f t="shared" si="3"/>
        <v>11</v>
      </c>
      <c r="Q38" s="5">
        <f t="shared" si="5"/>
        <v>170</v>
      </c>
    </row>
    <row r="39" spans="1:17" ht="15.75" customHeight="1">
      <c r="A39" s="1">
        <v>34</v>
      </c>
      <c r="B39" s="2" t="s">
        <v>42</v>
      </c>
      <c r="C39" s="3" t="s">
        <v>22</v>
      </c>
      <c r="D39" s="4">
        <v>42726</v>
      </c>
      <c r="E39" s="7">
        <v>428</v>
      </c>
      <c r="F39" s="4">
        <v>43100</v>
      </c>
      <c r="G39" s="7">
        <v>480</v>
      </c>
      <c r="H39" s="5">
        <f t="shared" si="0"/>
        <v>52</v>
      </c>
      <c r="I39" s="9">
        <v>42316</v>
      </c>
      <c r="J39" s="9">
        <v>47387</v>
      </c>
      <c r="K39" s="7">
        <v>3143</v>
      </c>
      <c r="L39" s="7">
        <v>8256</v>
      </c>
      <c r="M39" s="6">
        <v>2159</v>
      </c>
      <c r="N39" s="6">
        <v>2406</v>
      </c>
      <c r="O39" s="6">
        <f t="shared" si="2"/>
        <v>247</v>
      </c>
      <c r="P39" s="6">
        <f t="shared" si="3"/>
        <v>10.291666666666666</v>
      </c>
      <c r="Q39" s="5"/>
    </row>
    <row r="40" spans="1:17" ht="15.75" customHeight="1">
      <c r="A40" s="1">
        <v>35</v>
      </c>
      <c r="B40" s="2" t="s">
        <v>42</v>
      </c>
      <c r="C40" s="3" t="s">
        <v>84</v>
      </c>
      <c r="D40" s="4">
        <v>42726</v>
      </c>
      <c r="E40" s="7">
        <v>364</v>
      </c>
      <c r="F40" s="4">
        <v>43100</v>
      </c>
      <c r="G40" s="7">
        <v>386</v>
      </c>
      <c r="H40" s="5">
        <f t="shared" si="0"/>
        <v>22</v>
      </c>
      <c r="I40" s="9">
        <v>27958</v>
      </c>
      <c r="J40" s="9">
        <v>29901</v>
      </c>
      <c r="K40" s="7">
        <v>24780</v>
      </c>
      <c r="L40" s="7">
        <v>26575</v>
      </c>
      <c r="M40" s="6">
        <v>3591</v>
      </c>
      <c r="N40" s="6">
        <v>3839</v>
      </c>
      <c r="O40" s="6">
        <f>N40-M40</f>
        <v>248</v>
      </c>
      <c r="P40" s="6">
        <f t="shared" si="3"/>
        <v>10.333333333333334</v>
      </c>
      <c r="Q40" s="5">
        <f t="shared" si="5"/>
        <v>148</v>
      </c>
    </row>
    <row r="41" spans="1:17" ht="15" customHeight="1">
      <c r="A41" s="1">
        <v>36</v>
      </c>
      <c r="B41" s="2" t="s">
        <v>43</v>
      </c>
      <c r="C41" s="3" t="s">
        <v>22</v>
      </c>
      <c r="D41" s="4">
        <v>42726</v>
      </c>
      <c r="E41" s="5">
        <v>1434</v>
      </c>
      <c r="F41" s="4">
        <v>43100</v>
      </c>
      <c r="G41" s="5">
        <f>E41+56</f>
        <v>1490</v>
      </c>
      <c r="H41" s="5">
        <f t="shared" si="0"/>
        <v>56</v>
      </c>
      <c r="I41" s="5">
        <v>166635</v>
      </c>
      <c r="J41" s="5">
        <f>I41+6426</f>
        <v>173061</v>
      </c>
      <c r="K41" s="5">
        <v>163239</v>
      </c>
      <c r="L41" s="5">
        <f>K41+6315</f>
        <v>169554</v>
      </c>
      <c r="M41" s="6">
        <v>13420</v>
      </c>
      <c r="N41" s="6">
        <f aca="true" t="shared" si="6" ref="N41:N52">M41+264</f>
        <v>13684</v>
      </c>
      <c r="O41" s="6">
        <f t="shared" si="2"/>
        <v>264</v>
      </c>
      <c r="P41" s="6">
        <f t="shared" si="3"/>
        <v>11</v>
      </c>
      <c r="Q41" s="5"/>
    </row>
    <row r="42" spans="1:17" ht="15" customHeight="1">
      <c r="A42" s="1">
        <v>37</v>
      </c>
      <c r="B42" s="2" t="s">
        <v>43</v>
      </c>
      <c r="C42" s="3" t="s">
        <v>84</v>
      </c>
      <c r="D42" s="4">
        <v>42726</v>
      </c>
      <c r="E42" s="5">
        <v>1110</v>
      </c>
      <c r="F42" s="4">
        <v>43100</v>
      </c>
      <c r="G42" s="5">
        <f>E42+30</f>
        <v>1140</v>
      </c>
      <c r="H42" s="5">
        <f t="shared" si="0"/>
        <v>30</v>
      </c>
      <c r="I42" s="5">
        <v>74819</v>
      </c>
      <c r="J42" s="5">
        <f>I42+1746</f>
        <v>76565</v>
      </c>
      <c r="K42" s="5">
        <v>64515</v>
      </c>
      <c r="L42" s="5">
        <f>K42+1426</f>
        <v>65941</v>
      </c>
      <c r="M42" s="6">
        <v>13420</v>
      </c>
      <c r="N42" s="6">
        <f t="shared" si="6"/>
        <v>13684</v>
      </c>
      <c r="O42" s="6">
        <f t="shared" si="2"/>
        <v>264</v>
      </c>
      <c r="P42" s="6">
        <f t="shared" si="3"/>
        <v>11</v>
      </c>
      <c r="Q42" s="5">
        <f t="shared" si="5"/>
        <v>320</v>
      </c>
    </row>
    <row r="43" spans="1:17" ht="15.75" customHeight="1">
      <c r="A43" s="1">
        <v>38</v>
      </c>
      <c r="B43" s="2" t="s">
        <v>44</v>
      </c>
      <c r="C43" s="3" t="s">
        <v>45</v>
      </c>
      <c r="D43" s="4">
        <v>42726</v>
      </c>
      <c r="E43" s="5">
        <v>1086</v>
      </c>
      <c r="F43" s="4">
        <v>43100</v>
      </c>
      <c r="G43" s="5">
        <f>E43+17</f>
        <v>1103</v>
      </c>
      <c r="H43" s="5">
        <f t="shared" si="0"/>
        <v>17</v>
      </c>
      <c r="I43" s="5">
        <v>141109</v>
      </c>
      <c r="J43" s="5">
        <f>I43+2168</f>
        <v>143277</v>
      </c>
      <c r="K43" s="5">
        <v>140680</v>
      </c>
      <c r="L43" s="5">
        <f>K43+2155</f>
        <v>142835</v>
      </c>
      <c r="M43" s="6">
        <v>30330</v>
      </c>
      <c r="N43" s="6">
        <f t="shared" si="6"/>
        <v>30594</v>
      </c>
      <c r="O43" s="6">
        <f t="shared" si="2"/>
        <v>264</v>
      </c>
      <c r="P43" s="6">
        <f t="shared" si="3"/>
        <v>11</v>
      </c>
      <c r="Q43" s="5"/>
    </row>
    <row r="44" spans="1:17" ht="15">
      <c r="A44" s="1">
        <v>39</v>
      </c>
      <c r="B44" s="2" t="s">
        <v>44</v>
      </c>
      <c r="C44" s="3" t="s">
        <v>46</v>
      </c>
      <c r="D44" s="4">
        <v>42726</v>
      </c>
      <c r="E44" s="5">
        <v>2031</v>
      </c>
      <c r="F44" s="4">
        <v>43100</v>
      </c>
      <c r="G44" s="5">
        <f>E44+33</f>
        <v>2064</v>
      </c>
      <c r="H44" s="5">
        <f t="shared" si="0"/>
        <v>33</v>
      </c>
      <c r="I44" s="5">
        <v>346192</v>
      </c>
      <c r="J44" s="5">
        <f>I44+5074</f>
        <v>351266</v>
      </c>
      <c r="K44" s="5">
        <v>344296</v>
      </c>
      <c r="L44" s="5">
        <f>K44+5094</f>
        <v>349390</v>
      </c>
      <c r="M44" s="6">
        <v>30282</v>
      </c>
      <c r="N44" s="6">
        <f t="shared" si="6"/>
        <v>30546</v>
      </c>
      <c r="O44" s="6">
        <f t="shared" si="2"/>
        <v>264</v>
      </c>
      <c r="P44" s="6">
        <f t="shared" si="3"/>
        <v>11</v>
      </c>
      <c r="Q44" s="5"/>
    </row>
    <row r="45" spans="1:17" ht="15">
      <c r="A45" s="1">
        <v>40</v>
      </c>
      <c r="B45" s="2" t="s">
        <v>47</v>
      </c>
      <c r="C45" s="3" t="s">
        <v>22</v>
      </c>
      <c r="D45" s="4">
        <v>42726</v>
      </c>
      <c r="E45" s="5">
        <v>1809</v>
      </c>
      <c r="F45" s="4">
        <v>43100</v>
      </c>
      <c r="G45" s="5">
        <f>E45+28</f>
        <v>1837</v>
      </c>
      <c r="H45" s="5">
        <f t="shared" si="0"/>
        <v>28</v>
      </c>
      <c r="I45" s="5">
        <v>282349</v>
      </c>
      <c r="J45" s="5">
        <f>I45+4042</f>
        <v>286391</v>
      </c>
      <c r="K45" s="5">
        <v>284075</v>
      </c>
      <c r="L45" s="5">
        <f>K45+4084</f>
        <v>288159</v>
      </c>
      <c r="M45" s="6">
        <v>31277</v>
      </c>
      <c r="N45" s="6">
        <f t="shared" si="6"/>
        <v>31541</v>
      </c>
      <c r="O45" s="6">
        <f t="shared" si="2"/>
        <v>264</v>
      </c>
      <c r="P45" s="6">
        <f t="shared" si="3"/>
        <v>11</v>
      </c>
      <c r="Q45" s="5"/>
    </row>
    <row r="46" spans="1:17" ht="14.25" customHeight="1">
      <c r="A46" s="1">
        <v>41</v>
      </c>
      <c r="B46" s="2" t="s">
        <v>48</v>
      </c>
      <c r="C46" s="3" t="s">
        <v>22</v>
      </c>
      <c r="D46" s="4">
        <v>42726</v>
      </c>
      <c r="E46" s="5">
        <v>1772</v>
      </c>
      <c r="F46" s="4">
        <v>43100</v>
      </c>
      <c r="G46" s="5">
        <f>E46+28</f>
        <v>1800</v>
      </c>
      <c r="H46" s="5">
        <f t="shared" si="0"/>
        <v>28</v>
      </c>
      <c r="I46" s="5">
        <v>261240</v>
      </c>
      <c r="J46" s="5">
        <f>I46+3878</f>
        <v>265118</v>
      </c>
      <c r="K46" s="5">
        <v>260322</v>
      </c>
      <c r="L46" s="5">
        <f>K46+3836</f>
        <v>264158</v>
      </c>
      <c r="M46" s="6">
        <v>31369</v>
      </c>
      <c r="N46" s="6">
        <f t="shared" si="6"/>
        <v>31633</v>
      </c>
      <c r="O46" s="6">
        <f t="shared" si="2"/>
        <v>264</v>
      </c>
      <c r="P46" s="6">
        <f t="shared" si="3"/>
        <v>11</v>
      </c>
      <c r="Q46" s="5"/>
    </row>
    <row r="47" spans="1:17" ht="15" customHeight="1">
      <c r="A47" s="1">
        <v>42</v>
      </c>
      <c r="B47" s="2" t="s">
        <v>49</v>
      </c>
      <c r="C47" s="3" t="s">
        <v>22</v>
      </c>
      <c r="D47" s="4">
        <v>42726</v>
      </c>
      <c r="E47" s="5">
        <v>234</v>
      </c>
      <c r="F47" s="4">
        <v>43100</v>
      </c>
      <c r="G47" s="5">
        <f>E47+28</f>
        <v>262</v>
      </c>
      <c r="H47" s="5">
        <f t="shared" si="0"/>
        <v>28</v>
      </c>
      <c r="I47" s="5">
        <v>34980</v>
      </c>
      <c r="J47" s="5">
        <f>I47+4196</f>
        <v>39176</v>
      </c>
      <c r="K47" s="5">
        <v>34508</v>
      </c>
      <c r="L47" s="5">
        <f>K47+4207</f>
        <v>38715</v>
      </c>
      <c r="M47" s="6">
        <v>4823</v>
      </c>
      <c r="N47" s="6">
        <f t="shared" si="6"/>
        <v>5087</v>
      </c>
      <c r="O47" s="6">
        <f t="shared" si="2"/>
        <v>264</v>
      </c>
      <c r="P47" s="6">
        <f t="shared" si="3"/>
        <v>11</v>
      </c>
      <c r="Q47" s="5"/>
    </row>
    <row r="48" spans="1:17" ht="15" customHeight="1">
      <c r="A48" s="1">
        <v>43</v>
      </c>
      <c r="B48" s="2" t="s">
        <v>49</v>
      </c>
      <c r="C48" s="3" t="s">
        <v>84</v>
      </c>
      <c r="D48" s="4">
        <v>42726</v>
      </c>
      <c r="E48" s="5">
        <v>177</v>
      </c>
      <c r="F48" s="4">
        <v>43100</v>
      </c>
      <c r="G48" s="5">
        <f>E48+13</f>
        <v>190</v>
      </c>
      <c r="H48" s="5">
        <f t="shared" si="0"/>
        <v>13</v>
      </c>
      <c r="I48" s="5">
        <v>9812</v>
      </c>
      <c r="J48" s="5">
        <f>I48+713</f>
        <v>10525</v>
      </c>
      <c r="K48" s="5">
        <v>8392</v>
      </c>
      <c r="L48" s="5">
        <f>K48+605</f>
        <v>8997</v>
      </c>
      <c r="M48" s="6">
        <v>4823</v>
      </c>
      <c r="N48" s="6">
        <f t="shared" si="6"/>
        <v>5087</v>
      </c>
      <c r="O48" s="6">
        <f t="shared" si="2"/>
        <v>264</v>
      </c>
      <c r="P48" s="6">
        <f t="shared" si="3"/>
        <v>11</v>
      </c>
      <c r="Q48" s="5">
        <f>(J48-I48)-(L48-K48)</f>
        <v>108</v>
      </c>
    </row>
    <row r="49" spans="1:17" ht="15" customHeight="1">
      <c r="A49" s="1">
        <v>44</v>
      </c>
      <c r="B49" s="2" t="s">
        <v>50</v>
      </c>
      <c r="C49" s="3" t="s">
        <v>22</v>
      </c>
      <c r="D49" s="4">
        <v>42726</v>
      </c>
      <c r="E49" s="5">
        <v>3449</v>
      </c>
      <c r="F49" s="4">
        <v>43100</v>
      </c>
      <c r="G49" s="5">
        <f>E49+54</f>
        <v>3503</v>
      </c>
      <c r="H49" s="5">
        <f t="shared" si="0"/>
        <v>54</v>
      </c>
      <c r="I49" s="5">
        <v>487604</v>
      </c>
      <c r="J49" s="5">
        <f>I49+7259</f>
        <v>494863</v>
      </c>
      <c r="K49" s="5">
        <v>475422</v>
      </c>
      <c r="L49" s="5">
        <f>K49+7264</f>
        <v>482686</v>
      </c>
      <c r="M49" s="6">
        <v>30963</v>
      </c>
      <c r="N49" s="6">
        <f t="shared" si="6"/>
        <v>31227</v>
      </c>
      <c r="O49" s="6">
        <f t="shared" si="2"/>
        <v>264</v>
      </c>
      <c r="P49" s="6">
        <f t="shared" si="3"/>
        <v>11</v>
      </c>
      <c r="Q49" s="5"/>
    </row>
    <row r="50" spans="1:17" ht="15" customHeight="1">
      <c r="A50" s="1">
        <v>45</v>
      </c>
      <c r="B50" s="2" t="s">
        <v>50</v>
      </c>
      <c r="C50" s="3" t="s">
        <v>84</v>
      </c>
      <c r="D50" s="4">
        <v>42726</v>
      </c>
      <c r="E50" s="5">
        <v>2951</v>
      </c>
      <c r="F50" s="4">
        <v>43100</v>
      </c>
      <c r="G50" s="5">
        <f>E50+21</f>
        <v>2972</v>
      </c>
      <c r="H50" s="5">
        <f t="shared" si="0"/>
        <v>21</v>
      </c>
      <c r="I50" s="5">
        <v>163232</v>
      </c>
      <c r="J50" s="5">
        <f>I50+1487</f>
        <v>164719</v>
      </c>
      <c r="K50" s="5">
        <v>135471</v>
      </c>
      <c r="L50" s="5">
        <f>K50+1339</f>
        <v>136810</v>
      </c>
      <c r="M50" s="6">
        <v>30963</v>
      </c>
      <c r="N50" s="6">
        <f t="shared" si="6"/>
        <v>31227</v>
      </c>
      <c r="O50" s="6">
        <f t="shared" si="2"/>
        <v>264</v>
      </c>
      <c r="P50" s="6">
        <f t="shared" si="3"/>
        <v>11</v>
      </c>
      <c r="Q50" s="5">
        <f>(J50-I50)-(L50-K50)</f>
        <v>148</v>
      </c>
    </row>
    <row r="51" spans="1:17" ht="15.75" customHeight="1">
      <c r="A51" s="1">
        <v>46</v>
      </c>
      <c r="B51" s="2" t="s">
        <v>51</v>
      </c>
      <c r="C51" s="3" t="s">
        <v>22</v>
      </c>
      <c r="D51" s="4">
        <v>42726</v>
      </c>
      <c r="E51" s="5">
        <v>1426</v>
      </c>
      <c r="F51" s="4">
        <v>43100</v>
      </c>
      <c r="G51" s="5">
        <f>E51+30</f>
        <v>1456</v>
      </c>
      <c r="H51" s="5">
        <f t="shared" si="0"/>
        <v>30</v>
      </c>
      <c r="I51" s="5">
        <v>205475</v>
      </c>
      <c r="J51" s="5">
        <f>I51+4517</f>
        <v>209992</v>
      </c>
      <c r="K51" s="5">
        <v>209672</v>
      </c>
      <c r="L51" s="5">
        <f>K51+4636</f>
        <v>214308</v>
      </c>
      <c r="M51" s="6">
        <v>21795</v>
      </c>
      <c r="N51" s="6">
        <f t="shared" si="6"/>
        <v>22059</v>
      </c>
      <c r="O51" s="6">
        <f t="shared" si="2"/>
        <v>264</v>
      </c>
      <c r="P51" s="6">
        <f t="shared" si="3"/>
        <v>11</v>
      </c>
      <c r="Q51" s="5"/>
    </row>
    <row r="52" spans="1:17" ht="15.75" customHeight="1">
      <c r="A52" s="1">
        <v>47</v>
      </c>
      <c r="B52" s="2" t="s">
        <v>51</v>
      </c>
      <c r="C52" s="3" t="s">
        <v>84</v>
      </c>
      <c r="D52" s="4">
        <v>42726</v>
      </c>
      <c r="E52" s="5">
        <v>939</v>
      </c>
      <c r="F52" s="4">
        <v>43100</v>
      </c>
      <c r="G52" s="5">
        <f>E52+12</f>
        <v>951</v>
      </c>
      <c r="H52" s="5">
        <f t="shared" si="0"/>
        <v>12</v>
      </c>
      <c r="I52" s="5">
        <v>51733</v>
      </c>
      <c r="J52" s="5">
        <f>I52+686</f>
        <v>52419</v>
      </c>
      <c r="K52" s="5">
        <v>43209</v>
      </c>
      <c r="L52" s="5">
        <f>K52+574</f>
        <v>43783</v>
      </c>
      <c r="M52" s="6">
        <v>21795</v>
      </c>
      <c r="N52" s="6">
        <f t="shared" si="6"/>
        <v>22059</v>
      </c>
      <c r="O52" s="6">
        <f t="shared" si="2"/>
        <v>264</v>
      </c>
      <c r="P52" s="6">
        <f t="shared" si="3"/>
        <v>11</v>
      </c>
      <c r="Q52" s="5">
        <f>(J52-I52)-(L52-K52)</f>
        <v>112</v>
      </c>
    </row>
    <row r="53" spans="1:17" ht="15.75" customHeight="1">
      <c r="A53" s="1">
        <v>48</v>
      </c>
      <c r="B53" s="2" t="s">
        <v>52</v>
      </c>
      <c r="C53" s="3" t="s">
        <v>22</v>
      </c>
      <c r="D53" s="4">
        <v>42726</v>
      </c>
      <c r="E53" s="5">
        <v>3618</v>
      </c>
      <c r="F53" s="4">
        <v>43100</v>
      </c>
      <c r="G53" s="5">
        <f>E53+58</f>
        <v>3676</v>
      </c>
      <c r="H53" s="5">
        <f t="shared" si="0"/>
        <v>58</v>
      </c>
      <c r="I53" s="5">
        <v>565271</v>
      </c>
      <c r="J53" s="5">
        <f>I53+9404</f>
        <v>574675</v>
      </c>
      <c r="K53" s="5">
        <v>557812</v>
      </c>
      <c r="L53" s="5">
        <f>K53+9262</f>
        <v>567074</v>
      </c>
      <c r="M53" s="6">
        <v>30962</v>
      </c>
      <c r="N53" s="6">
        <f aca="true" t="shared" si="7" ref="N53:N61">M53+264</f>
        <v>31226</v>
      </c>
      <c r="O53" s="6">
        <f t="shared" si="2"/>
        <v>264</v>
      </c>
      <c r="P53" s="6">
        <f t="shared" si="3"/>
        <v>11</v>
      </c>
      <c r="Q53" s="5"/>
    </row>
    <row r="54" spans="1:17" ht="15.75" customHeight="1">
      <c r="A54" s="1">
        <v>49</v>
      </c>
      <c r="B54" s="2" t="s">
        <v>52</v>
      </c>
      <c r="C54" s="3" t="s">
        <v>84</v>
      </c>
      <c r="D54" s="4">
        <v>42726</v>
      </c>
      <c r="E54" s="5">
        <v>1421</v>
      </c>
      <c r="F54" s="4">
        <v>43100</v>
      </c>
      <c r="G54" s="5">
        <f>E54+21</f>
        <v>1442</v>
      </c>
      <c r="H54" s="5">
        <f t="shared" si="0"/>
        <v>21</v>
      </c>
      <c r="I54" s="5">
        <v>48118</v>
      </c>
      <c r="J54" s="5">
        <f>I54+748</f>
        <v>48866</v>
      </c>
      <c r="K54" s="5">
        <v>33586</v>
      </c>
      <c r="L54" s="5">
        <f>K54+536</f>
        <v>34122</v>
      </c>
      <c r="M54" s="6">
        <v>17807</v>
      </c>
      <c r="N54" s="6">
        <f t="shared" si="7"/>
        <v>18071</v>
      </c>
      <c r="O54" s="6">
        <f t="shared" si="2"/>
        <v>264</v>
      </c>
      <c r="P54" s="6">
        <f t="shared" si="3"/>
        <v>11</v>
      </c>
      <c r="Q54" s="5">
        <f>(J54-I54)-(L54-K54)</f>
        <v>212</v>
      </c>
    </row>
    <row r="55" spans="1:17" ht="14.25" customHeight="1">
      <c r="A55" s="1">
        <v>50</v>
      </c>
      <c r="B55" s="2" t="s">
        <v>53</v>
      </c>
      <c r="C55" s="3" t="s">
        <v>22</v>
      </c>
      <c r="D55" s="4">
        <v>42726</v>
      </c>
      <c r="E55" s="5">
        <v>3495</v>
      </c>
      <c r="F55" s="4">
        <v>43100</v>
      </c>
      <c r="G55" s="5">
        <f>E55+55</f>
        <v>3550</v>
      </c>
      <c r="H55" s="5">
        <f t="shared" si="0"/>
        <v>55</v>
      </c>
      <c r="I55" s="5">
        <v>408940</v>
      </c>
      <c r="J55" s="5">
        <f>I55+7247</f>
        <v>416187</v>
      </c>
      <c r="K55" s="5">
        <v>406739</v>
      </c>
      <c r="L55" s="5">
        <f>K55+7259</f>
        <v>413998</v>
      </c>
      <c r="M55" s="6">
        <v>30961</v>
      </c>
      <c r="N55" s="6">
        <f t="shared" si="7"/>
        <v>31225</v>
      </c>
      <c r="O55" s="6">
        <f t="shared" si="2"/>
        <v>264</v>
      </c>
      <c r="P55" s="6">
        <f t="shared" si="3"/>
        <v>11</v>
      </c>
      <c r="Q55" s="5"/>
    </row>
    <row r="56" spans="1:17" ht="14.25" customHeight="1">
      <c r="A56" s="1">
        <v>51</v>
      </c>
      <c r="B56" s="2" t="s">
        <v>53</v>
      </c>
      <c r="C56" s="3" t="s">
        <v>84</v>
      </c>
      <c r="D56" s="4">
        <v>42726</v>
      </c>
      <c r="E56" s="5">
        <v>1107</v>
      </c>
      <c r="F56" s="4">
        <v>43100</v>
      </c>
      <c r="G56" s="5">
        <f>E56+17</f>
        <v>1124</v>
      </c>
      <c r="H56" s="5">
        <f t="shared" si="0"/>
        <v>17</v>
      </c>
      <c r="I56" s="5">
        <v>45187</v>
      </c>
      <c r="J56" s="5">
        <f>I56+697</f>
        <v>45884</v>
      </c>
      <c r="K56" s="5">
        <v>31630</v>
      </c>
      <c r="L56" s="5">
        <f>K56+493</f>
        <v>32123</v>
      </c>
      <c r="M56" s="6">
        <v>17806</v>
      </c>
      <c r="N56" s="6">
        <f t="shared" si="7"/>
        <v>18070</v>
      </c>
      <c r="O56" s="6">
        <f t="shared" si="2"/>
        <v>264</v>
      </c>
      <c r="P56" s="6">
        <f t="shared" si="3"/>
        <v>11</v>
      </c>
      <c r="Q56" s="5">
        <f>(J56-I56)-(L56-K56)</f>
        <v>204</v>
      </c>
    </row>
    <row r="57" spans="1:17" ht="15" customHeight="1">
      <c r="A57" s="1">
        <v>52</v>
      </c>
      <c r="B57" s="2" t="s">
        <v>54</v>
      </c>
      <c r="C57" s="3" t="s">
        <v>22</v>
      </c>
      <c r="D57" s="4">
        <v>42726</v>
      </c>
      <c r="E57" s="5">
        <v>22</v>
      </c>
      <c r="F57" s="4">
        <v>43100</v>
      </c>
      <c r="G57" s="5">
        <f>E57+2</f>
        <v>24</v>
      </c>
      <c r="H57" s="5">
        <f t="shared" si="0"/>
        <v>2</v>
      </c>
      <c r="I57" s="5">
        <v>2277</v>
      </c>
      <c r="J57" s="5">
        <f>I57+259</f>
        <v>2536</v>
      </c>
      <c r="K57" s="5">
        <v>2277</v>
      </c>
      <c r="L57" s="5">
        <f>K57+259</f>
        <v>2536</v>
      </c>
      <c r="M57" s="6">
        <v>4823</v>
      </c>
      <c r="N57" s="6">
        <f t="shared" si="7"/>
        <v>5087</v>
      </c>
      <c r="O57" s="6">
        <f t="shared" si="2"/>
        <v>264</v>
      </c>
      <c r="P57" s="6">
        <f t="shared" si="3"/>
        <v>11</v>
      </c>
      <c r="Q57" s="5"/>
    </row>
    <row r="58" spans="1:17" ht="15.75" customHeight="1">
      <c r="A58" s="1">
        <v>53</v>
      </c>
      <c r="B58" s="2" t="s">
        <v>55</v>
      </c>
      <c r="C58" s="3" t="s">
        <v>22</v>
      </c>
      <c r="D58" s="4">
        <v>42726</v>
      </c>
      <c r="E58" s="5">
        <v>429</v>
      </c>
      <c r="F58" s="4">
        <v>43100</v>
      </c>
      <c r="G58" s="5">
        <f>E58+53</f>
        <v>482</v>
      </c>
      <c r="H58" s="5">
        <f t="shared" si="0"/>
        <v>53</v>
      </c>
      <c r="I58" s="5">
        <v>82261</v>
      </c>
      <c r="J58" s="5">
        <f>I58+10839</f>
        <v>93100</v>
      </c>
      <c r="K58" s="5">
        <v>81968</v>
      </c>
      <c r="L58" s="5">
        <f>K58+10664</f>
        <v>92632</v>
      </c>
      <c r="M58" s="6">
        <v>4823</v>
      </c>
      <c r="N58" s="6">
        <f t="shared" si="7"/>
        <v>5087</v>
      </c>
      <c r="O58" s="6">
        <f t="shared" si="2"/>
        <v>264</v>
      </c>
      <c r="P58" s="6">
        <f t="shared" si="3"/>
        <v>11</v>
      </c>
      <c r="Q58" s="5"/>
    </row>
    <row r="59" spans="1:17" ht="15.75" customHeight="1">
      <c r="A59" s="1">
        <v>54</v>
      </c>
      <c r="B59" s="2" t="s">
        <v>55</v>
      </c>
      <c r="C59" s="3" t="s">
        <v>84</v>
      </c>
      <c r="D59" s="4">
        <v>42726</v>
      </c>
      <c r="E59" s="5">
        <v>294</v>
      </c>
      <c r="F59" s="4">
        <v>43100</v>
      </c>
      <c r="G59" s="5">
        <f>E59+22</f>
        <v>316</v>
      </c>
      <c r="H59" s="5">
        <f t="shared" si="0"/>
        <v>22</v>
      </c>
      <c r="I59" s="5">
        <v>15163</v>
      </c>
      <c r="J59" s="5">
        <f>I59+1120</f>
        <v>16283</v>
      </c>
      <c r="K59" s="5">
        <v>10993</v>
      </c>
      <c r="L59" s="5">
        <f>K59+819</f>
        <v>11812</v>
      </c>
      <c r="M59" s="6">
        <v>4823</v>
      </c>
      <c r="N59" s="6">
        <f t="shared" si="7"/>
        <v>5087</v>
      </c>
      <c r="O59" s="6">
        <f t="shared" si="2"/>
        <v>264</v>
      </c>
      <c r="P59" s="6">
        <f t="shared" si="3"/>
        <v>11</v>
      </c>
      <c r="Q59" s="5">
        <f>(J59-I59)-(L59-K59)</f>
        <v>301</v>
      </c>
    </row>
    <row r="60" spans="1:17" ht="15.75" customHeight="1">
      <c r="A60" s="1">
        <v>55</v>
      </c>
      <c r="B60" s="2" t="s">
        <v>56</v>
      </c>
      <c r="C60" s="3" t="s">
        <v>22</v>
      </c>
      <c r="D60" s="4">
        <v>42726</v>
      </c>
      <c r="E60" s="5">
        <v>1353</v>
      </c>
      <c r="F60" s="4">
        <v>43100</v>
      </c>
      <c r="G60" s="5">
        <f>E60+49</f>
        <v>1402</v>
      </c>
      <c r="H60" s="5">
        <f t="shared" si="0"/>
        <v>49</v>
      </c>
      <c r="I60" s="5">
        <v>235469</v>
      </c>
      <c r="J60" s="5">
        <f>I60+9118</f>
        <v>244587</v>
      </c>
      <c r="K60" s="5"/>
      <c r="L60" s="5"/>
      <c r="M60" s="6">
        <v>13105</v>
      </c>
      <c r="N60" s="6">
        <f t="shared" si="7"/>
        <v>13369</v>
      </c>
      <c r="O60" s="6">
        <f t="shared" si="2"/>
        <v>264</v>
      </c>
      <c r="P60" s="6">
        <f t="shared" si="3"/>
        <v>11</v>
      </c>
      <c r="Q60" s="5"/>
    </row>
    <row r="61" spans="1:17" ht="15.75" customHeight="1">
      <c r="A61" s="1">
        <v>56</v>
      </c>
      <c r="B61" s="2" t="s">
        <v>56</v>
      </c>
      <c r="C61" s="3" t="s">
        <v>84</v>
      </c>
      <c r="D61" s="4">
        <v>42726</v>
      </c>
      <c r="E61" s="5">
        <v>1503</v>
      </c>
      <c r="F61" s="4">
        <v>43100</v>
      </c>
      <c r="G61" s="5">
        <f>E61+23</f>
        <v>1526</v>
      </c>
      <c r="H61" s="5">
        <f t="shared" si="0"/>
        <v>23</v>
      </c>
      <c r="I61" s="5">
        <v>72632</v>
      </c>
      <c r="J61" s="5">
        <f>I61+1168</f>
        <v>73800</v>
      </c>
      <c r="K61" s="5">
        <v>52665</v>
      </c>
      <c r="L61" s="5">
        <f>K61+859</f>
        <v>53524</v>
      </c>
      <c r="M61" s="6">
        <v>18016</v>
      </c>
      <c r="N61" s="6">
        <f t="shared" si="7"/>
        <v>18280</v>
      </c>
      <c r="O61" s="6">
        <f>N61-M61</f>
        <v>264</v>
      </c>
      <c r="P61" s="6">
        <f>O61/24</f>
        <v>11</v>
      </c>
      <c r="Q61" s="5">
        <f>(J61-I61)-(L61-K61)</f>
        <v>309</v>
      </c>
    </row>
    <row r="62" spans="1:17" ht="16.5" customHeight="1">
      <c r="A62" s="1">
        <v>57</v>
      </c>
      <c r="B62" s="2" t="s">
        <v>57</v>
      </c>
      <c r="C62" s="3" t="s">
        <v>22</v>
      </c>
      <c r="D62" s="4">
        <v>42726</v>
      </c>
      <c r="E62" s="5">
        <v>2647</v>
      </c>
      <c r="F62" s="4">
        <v>43100</v>
      </c>
      <c r="G62" s="5">
        <f>E62+50</f>
        <v>2697</v>
      </c>
      <c r="H62" s="5">
        <f t="shared" si="0"/>
        <v>50</v>
      </c>
      <c r="I62" s="5">
        <v>436672</v>
      </c>
      <c r="J62" s="5">
        <f>I62+5802</f>
        <v>442474</v>
      </c>
      <c r="K62" s="5">
        <v>435968</v>
      </c>
      <c r="L62" s="5">
        <f>K62+5799</f>
        <v>441767</v>
      </c>
      <c r="M62" s="6">
        <v>21839</v>
      </c>
      <c r="N62" s="6">
        <f aca="true" t="shared" si="8" ref="N62:N69">M62+264</f>
        <v>22103</v>
      </c>
      <c r="O62" s="6">
        <f t="shared" si="2"/>
        <v>264</v>
      </c>
      <c r="P62" s="6">
        <f t="shared" si="3"/>
        <v>11</v>
      </c>
      <c r="Q62" s="5"/>
    </row>
    <row r="63" spans="1:17" ht="16.5" customHeight="1">
      <c r="A63" s="1">
        <v>58</v>
      </c>
      <c r="B63" s="2" t="s">
        <v>57</v>
      </c>
      <c r="C63" s="3" t="s">
        <v>84</v>
      </c>
      <c r="D63" s="4">
        <v>42726</v>
      </c>
      <c r="E63" s="5">
        <v>2011</v>
      </c>
      <c r="F63" s="4">
        <v>43100</v>
      </c>
      <c r="G63" s="5">
        <f>E63+24</f>
        <v>2035</v>
      </c>
      <c r="H63" s="5">
        <f t="shared" si="0"/>
        <v>24</v>
      </c>
      <c r="I63" s="5">
        <v>86826</v>
      </c>
      <c r="J63" s="5">
        <f>I63+1161</f>
        <v>87987</v>
      </c>
      <c r="K63" s="5">
        <v>64018</v>
      </c>
      <c r="L63" s="5">
        <f>K63+908</f>
        <v>64926</v>
      </c>
      <c r="M63" s="6">
        <v>21839</v>
      </c>
      <c r="N63" s="6">
        <f t="shared" si="8"/>
        <v>22103</v>
      </c>
      <c r="O63" s="6">
        <f t="shared" si="2"/>
        <v>264</v>
      </c>
      <c r="P63" s="6">
        <f t="shared" si="3"/>
        <v>11</v>
      </c>
      <c r="Q63" s="5">
        <f>(J63-I63)-(L63-K63)</f>
        <v>253</v>
      </c>
    </row>
    <row r="64" spans="1:17" ht="15">
      <c r="A64" s="1">
        <v>59</v>
      </c>
      <c r="B64" s="2" t="s">
        <v>58</v>
      </c>
      <c r="C64" s="3" t="s">
        <v>22</v>
      </c>
      <c r="D64" s="4">
        <v>42726</v>
      </c>
      <c r="E64" s="5">
        <v>1515</v>
      </c>
      <c r="F64" s="4">
        <v>43100</v>
      </c>
      <c r="G64" s="5">
        <f>E64+55</f>
        <v>1570</v>
      </c>
      <c r="H64" s="5">
        <f t="shared" si="0"/>
        <v>55</v>
      </c>
      <c r="I64" s="5">
        <v>236511</v>
      </c>
      <c r="J64" s="5">
        <f>I64+10712</f>
        <v>247223</v>
      </c>
      <c r="K64" s="5">
        <v>235143</v>
      </c>
      <c r="L64" s="5">
        <f>K64+10644</f>
        <v>245787</v>
      </c>
      <c r="M64" s="6">
        <v>13108</v>
      </c>
      <c r="N64" s="6">
        <f t="shared" si="8"/>
        <v>13372</v>
      </c>
      <c r="O64" s="6">
        <f t="shared" si="2"/>
        <v>264</v>
      </c>
      <c r="P64" s="6">
        <f t="shared" si="3"/>
        <v>11</v>
      </c>
      <c r="Q64" s="5"/>
    </row>
    <row r="65" spans="1:17" ht="15">
      <c r="A65" s="1">
        <v>60</v>
      </c>
      <c r="B65" s="2" t="s">
        <v>58</v>
      </c>
      <c r="C65" s="3" t="s">
        <v>84</v>
      </c>
      <c r="D65" s="4">
        <v>42726</v>
      </c>
      <c r="E65" s="5">
        <v>1013</v>
      </c>
      <c r="F65" s="4">
        <v>43100</v>
      </c>
      <c r="G65" s="5">
        <f>E65+23</f>
        <v>1036</v>
      </c>
      <c r="H65" s="5">
        <f t="shared" si="0"/>
        <v>23</v>
      </c>
      <c r="I65" s="5">
        <v>45397</v>
      </c>
      <c r="J65" s="5">
        <f>I65+1108</f>
        <v>46505</v>
      </c>
      <c r="K65" s="5">
        <v>33993</v>
      </c>
      <c r="L65" s="5">
        <f>K65+854</f>
        <v>34847</v>
      </c>
      <c r="M65" s="6">
        <v>13108</v>
      </c>
      <c r="N65" s="6">
        <f t="shared" si="8"/>
        <v>13372</v>
      </c>
      <c r="O65" s="6">
        <f t="shared" si="2"/>
        <v>264</v>
      </c>
      <c r="P65" s="6">
        <f t="shared" si="3"/>
        <v>11</v>
      </c>
      <c r="Q65" s="5">
        <f>(J65-I65)-(L65-K65)</f>
        <v>254</v>
      </c>
    </row>
    <row r="66" spans="1:17" ht="13.5" customHeight="1">
      <c r="A66" s="1">
        <v>61</v>
      </c>
      <c r="B66" s="2" t="s">
        <v>59</v>
      </c>
      <c r="C66" s="3" t="s">
        <v>22</v>
      </c>
      <c r="D66" s="4">
        <v>42726</v>
      </c>
      <c r="E66" s="5">
        <v>527</v>
      </c>
      <c r="F66" s="4">
        <v>43100</v>
      </c>
      <c r="G66" s="5">
        <f>E66+62</f>
        <v>589</v>
      </c>
      <c r="H66" s="5">
        <f t="shared" si="0"/>
        <v>62</v>
      </c>
      <c r="I66" s="5">
        <v>97202</v>
      </c>
      <c r="J66" s="5">
        <f>I66+12968</f>
        <v>110170</v>
      </c>
      <c r="K66" s="5">
        <v>94812</v>
      </c>
      <c r="L66" s="5">
        <f>K66+12636</f>
        <v>107448</v>
      </c>
      <c r="M66" s="6">
        <v>2142</v>
      </c>
      <c r="N66" s="6">
        <f t="shared" si="8"/>
        <v>2406</v>
      </c>
      <c r="O66" s="6">
        <f t="shared" si="2"/>
        <v>264</v>
      </c>
      <c r="P66" s="6">
        <f t="shared" si="3"/>
        <v>11</v>
      </c>
      <c r="Q66" s="5"/>
    </row>
    <row r="67" spans="1:17" ht="13.5" customHeight="1">
      <c r="A67" s="1">
        <v>62</v>
      </c>
      <c r="B67" s="2" t="s">
        <v>59</v>
      </c>
      <c r="C67" s="3" t="s">
        <v>84</v>
      </c>
      <c r="D67" s="4">
        <v>42726</v>
      </c>
      <c r="E67" s="5">
        <v>286</v>
      </c>
      <c r="F67" s="4">
        <v>43100</v>
      </c>
      <c r="G67" s="5">
        <f>E67+22</f>
        <v>308</v>
      </c>
      <c r="H67" s="5">
        <f t="shared" si="0"/>
        <v>22</v>
      </c>
      <c r="I67" s="5">
        <v>18966</v>
      </c>
      <c r="J67" s="5">
        <f>I67+1401</f>
        <v>20367</v>
      </c>
      <c r="K67" s="5">
        <v>16510</v>
      </c>
      <c r="L67" s="5">
        <f>K67+1226</f>
        <v>17736</v>
      </c>
      <c r="M67" s="6">
        <v>4823</v>
      </c>
      <c r="N67" s="6">
        <f t="shared" si="8"/>
        <v>5087</v>
      </c>
      <c r="O67" s="6">
        <f t="shared" si="2"/>
        <v>264</v>
      </c>
      <c r="P67" s="6">
        <f t="shared" si="3"/>
        <v>11</v>
      </c>
      <c r="Q67" s="5">
        <f>(J67-I67)-(L67-K67)</f>
        <v>175</v>
      </c>
    </row>
    <row r="68" spans="1:17" ht="14.25" customHeight="1">
      <c r="A68" s="1">
        <v>63</v>
      </c>
      <c r="B68" s="2" t="s">
        <v>60</v>
      </c>
      <c r="C68" s="3" t="s">
        <v>22</v>
      </c>
      <c r="D68" s="4">
        <v>42726</v>
      </c>
      <c r="E68" s="5">
        <v>1482</v>
      </c>
      <c r="F68" s="4">
        <v>43100</v>
      </c>
      <c r="G68" s="5">
        <f>E68+53</f>
        <v>1535</v>
      </c>
      <c r="H68" s="5">
        <f t="shared" si="0"/>
        <v>53</v>
      </c>
      <c r="I68" s="5">
        <v>236466</v>
      </c>
      <c r="J68" s="5">
        <f>I68+10363</f>
        <v>246829</v>
      </c>
      <c r="K68" s="5">
        <v>246107</v>
      </c>
      <c r="L68" s="5">
        <f>K68+10397</f>
        <v>256504</v>
      </c>
      <c r="M68" s="6">
        <v>13419</v>
      </c>
      <c r="N68" s="6">
        <f t="shared" si="8"/>
        <v>13683</v>
      </c>
      <c r="O68" s="6">
        <f t="shared" si="2"/>
        <v>264</v>
      </c>
      <c r="P68" s="6">
        <f t="shared" si="3"/>
        <v>11</v>
      </c>
      <c r="Q68" s="5"/>
    </row>
    <row r="69" spans="1:17" ht="14.25" customHeight="1">
      <c r="A69" s="1">
        <v>64</v>
      </c>
      <c r="B69" s="2" t="s">
        <v>60</v>
      </c>
      <c r="C69" s="3" t="s">
        <v>84</v>
      </c>
      <c r="D69" s="4">
        <v>42726</v>
      </c>
      <c r="E69" s="5">
        <v>1027</v>
      </c>
      <c r="F69" s="4">
        <v>43100</v>
      </c>
      <c r="G69" s="5">
        <f>E69+23</f>
        <v>1050</v>
      </c>
      <c r="H69" s="5">
        <f t="shared" si="0"/>
        <v>23</v>
      </c>
      <c r="I69" s="5">
        <v>51629</v>
      </c>
      <c r="J69" s="5">
        <f>I69+1211</f>
        <v>52840</v>
      </c>
      <c r="K69" s="5">
        <v>40199</v>
      </c>
      <c r="L69" s="5">
        <f>K69+960</f>
        <v>41159</v>
      </c>
      <c r="M69" s="6">
        <v>13419</v>
      </c>
      <c r="N69" s="6">
        <f t="shared" si="8"/>
        <v>13683</v>
      </c>
      <c r="O69" s="6">
        <f t="shared" si="2"/>
        <v>264</v>
      </c>
      <c r="P69" s="6">
        <f t="shared" si="3"/>
        <v>11</v>
      </c>
      <c r="Q69" s="5">
        <f>(J69-I69)-(L69-K69)</f>
        <v>251</v>
      </c>
    </row>
    <row r="70" spans="1:17" ht="13.5" customHeight="1">
      <c r="A70" s="1">
        <v>65</v>
      </c>
      <c r="B70" s="2" t="s">
        <v>61</v>
      </c>
      <c r="C70" s="3" t="s">
        <v>22</v>
      </c>
      <c r="D70" s="4">
        <v>42726</v>
      </c>
      <c r="E70" s="5">
        <v>282</v>
      </c>
      <c r="F70" s="4">
        <v>43100</v>
      </c>
      <c r="G70" s="5">
        <f>E70+36</f>
        <v>318</v>
      </c>
      <c r="H70" s="5">
        <f t="shared" si="0"/>
        <v>36</v>
      </c>
      <c r="I70" s="5">
        <v>29814</v>
      </c>
      <c r="J70" s="5">
        <f>I70+3826</f>
        <v>33640</v>
      </c>
      <c r="K70" s="5">
        <v>31677</v>
      </c>
      <c r="L70" s="5">
        <f>K70+3872</f>
        <v>35549</v>
      </c>
      <c r="M70" s="6">
        <v>4823</v>
      </c>
      <c r="N70" s="6">
        <f aca="true" t="shared" si="9" ref="N70:N83">M70+264</f>
        <v>5087</v>
      </c>
      <c r="O70" s="6">
        <f t="shared" si="2"/>
        <v>264</v>
      </c>
      <c r="P70" s="6">
        <f t="shared" si="3"/>
        <v>11</v>
      </c>
      <c r="Q70" s="5"/>
    </row>
    <row r="71" spans="1:17" ht="15">
      <c r="A71" s="1">
        <v>66</v>
      </c>
      <c r="B71" s="2" t="s">
        <v>62</v>
      </c>
      <c r="C71" s="3" t="s">
        <v>22</v>
      </c>
      <c r="D71" s="4">
        <v>42726</v>
      </c>
      <c r="E71" s="5">
        <v>306</v>
      </c>
      <c r="F71" s="4">
        <v>43100</v>
      </c>
      <c r="G71" s="5">
        <f>E71+37</f>
        <v>343</v>
      </c>
      <c r="H71" s="5">
        <f aca="true" t="shared" si="10" ref="H71:H94">G71-E71</f>
        <v>37</v>
      </c>
      <c r="I71" s="5">
        <v>32177</v>
      </c>
      <c r="J71" s="5">
        <f>I71+4006</f>
        <v>36183</v>
      </c>
      <c r="K71" s="5">
        <v>31819</v>
      </c>
      <c r="L71" s="5">
        <f>K71+3956</f>
        <v>35775</v>
      </c>
      <c r="M71" s="6">
        <v>4823</v>
      </c>
      <c r="N71" s="6">
        <f t="shared" si="9"/>
        <v>5087</v>
      </c>
      <c r="O71" s="6">
        <f t="shared" si="2"/>
        <v>264</v>
      </c>
      <c r="P71" s="6">
        <f t="shared" si="3"/>
        <v>11</v>
      </c>
      <c r="Q71" s="5"/>
    </row>
    <row r="72" spans="1:17" ht="15">
      <c r="A72" s="1">
        <v>67</v>
      </c>
      <c r="B72" s="2" t="s">
        <v>63</v>
      </c>
      <c r="C72" s="3" t="s">
        <v>22</v>
      </c>
      <c r="D72" s="4">
        <v>42726</v>
      </c>
      <c r="E72" s="5">
        <v>394</v>
      </c>
      <c r="F72" s="4">
        <v>43100</v>
      </c>
      <c r="G72" s="5">
        <f>E72+49</f>
        <v>443</v>
      </c>
      <c r="H72" s="5">
        <f t="shared" si="10"/>
        <v>49</v>
      </c>
      <c r="I72" s="5">
        <v>38614</v>
      </c>
      <c r="J72" s="5">
        <f>I72+4751</f>
        <v>43365</v>
      </c>
      <c r="K72" s="5">
        <v>38145</v>
      </c>
      <c r="L72" s="5">
        <f>K72+4675</f>
        <v>42820</v>
      </c>
      <c r="M72" s="6">
        <v>4823</v>
      </c>
      <c r="N72" s="6">
        <f t="shared" si="9"/>
        <v>5087</v>
      </c>
      <c r="O72" s="6">
        <f t="shared" si="2"/>
        <v>264</v>
      </c>
      <c r="P72" s="6">
        <f t="shared" si="3"/>
        <v>11</v>
      </c>
      <c r="Q72" s="5"/>
    </row>
    <row r="73" spans="1:17" ht="15">
      <c r="A73" s="1">
        <v>68</v>
      </c>
      <c r="B73" s="2" t="s">
        <v>64</v>
      </c>
      <c r="C73" s="3" t="s">
        <v>22</v>
      </c>
      <c r="D73" s="4">
        <v>42726</v>
      </c>
      <c r="E73" s="10">
        <v>1830</v>
      </c>
      <c r="F73" s="4">
        <v>43100</v>
      </c>
      <c r="G73" s="10">
        <f>E73+41</f>
        <v>1871</v>
      </c>
      <c r="H73" s="5">
        <f t="shared" si="10"/>
        <v>41</v>
      </c>
      <c r="I73" s="5">
        <v>192228</v>
      </c>
      <c r="J73" s="5">
        <f>I73+4274</f>
        <v>196502</v>
      </c>
      <c r="K73" s="5">
        <v>193618</v>
      </c>
      <c r="L73" s="5">
        <f>K73+4282</f>
        <v>197900</v>
      </c>
      <c r="M73" s="6">
        <v>21868</v>
      </c>
      <c r="N73" s="6">
        <f t="shared" si="9"/>
        <v>22132</v>
      </c>
      <c r="O73" s="6">
        <f t="shared" si="2"/>
        <v>264</v>
      </c>
      <c r="P73" s="6">
        <f t="shared" si="3"/>
        <v>11</v>
      </c>
      <c r="Q73" s="5"/>
    </row>
    <row r="74" spans="1:17" ht="15">
      <c r="A74" s="1">
        <v>69</v>
      </c>
      <c r="B74" s="2" t="s">
        <v>64</v>
      </c>
      <c r="C74" s="3" t="s">
        <v>84</v>
      </c>
      <c r="D74" s="4">
        <v>42726</v>
      </c>
      <c r="E74" s="10">
        <v>1208</v>
      </c>
      <c r="F74" s="4">
        <v>43100</v>
      </c>
      <c r="G74" s="10">
        <f>E74+16</f>
        <v>1224</v>
      </c>
      <c r="H74" s="5">
        <f t="shared" si="10"/>
        <v>16</v>
      </c>
      <c r="I74" s="5">
        <v>75237</v>
      </c>
      <c r="J74" s="5">
        <f>I74+1000</f>
        <v>76237</v>
      </c>
      <c r="K74" s="5">
        <v>62838</v>
      </c>
      <c r="L74" s="5">
        <f>K74+839</f>
        <v>63677</v>
      </c>
      <c r="M74" s="6">
        <v>21868</v>
      </c>
      <c r="N74" s="6">
        <f t="shared" si="9"/>
        <v>22132</v>
      </c>
      <c r="O74" s="6">
        <f t="shared" si="2"/>
        <v>264</v>
      </c>
      <c r="P74" s="6">
        <f t="shared" si="3"/>
        <v>11</v>
      </c>
      <c r="Q74" s="5">
        <f>(J74-I74)-(L74-K74)</f>
        <v>161</v>
      </c>
    </row>
    <row r="75" spans="1:17" ht="15">
      <c r="A75" s="1">
        <v>70</v>
      </c>
      <c r="B75" s="2" t="s">
        <v>65</v>
      </c>
      <c r="C75" s="3" t="s">
        <v>22</v>
      </c>
      <c r="D75" s="4">
        <v>42726</v>
      </c>
      <c r="E75" s="5">
        <v>1493</v>
      </c>
      <c r="F75" s="4">
        <v>43100</v>
      </c>
      <c r="G75" s="5">
        <f>E75+23</f>
        <v>1516</v>
      </c>
      <c r="H75" s="5">
        <f t="shared" si="10"/>
        <v>23</v>
      </c>
      <c r="I75" s="5">
        <v>148137</v>
      </c>
      <c r="J75" s="5">
        <f>I75+1939</f>
        <v>150076</v>
      </c>
      <c r="K75" s="5">
        <v>148509</v>
      </c>
      <c r="L75" s="5">
        <f>K75+1948</f>
        <v>150457</v>
      </c>
      <c r="M75" s="6">
        <v>30964</v>
      </c>
      <c r="N75" s="6">
        <f t="shared" si="9"/>
        <v>31228</v>
      </c>
      <c r="O75" s="6">
        <f t="shared" si="2"/>
        <v>264</v>
      </c>
      <c r="P75" s="6">
        <f t="shared" si="3"/>
        <v>11</v>
      </c>
      <c r="Q75" s="5"/>
    </row>
    <row r="76" spans="1:17" ht="15">
      <c r="A76" s="1">
        <v>71</v>
      </c>
      <c r="B76" s="2" t="s">
        <v>65</v>
      </c>
      <c r="C76" s="3" t="s">
        <v>84</v>
      </c>
      <c r="D76" s="4">
        <v>42726</v>
      </c>
      <c r="E76" s="5">
        <v>1169</v>
      </c>
      <c r="F76" s="4">
        <v>43100</v>
      </c>
      <c r="G76" s="5">
        <f>E76+13</f>
        <v>1182</v>
      </c>
      <c r="H76" s="5">
        <f t="shared" si="10"/>
        <v>13</v>
      </c>
      <c r="I76" s="5">
        <v>117790</v>
      </c>
      <c r="J76" s="5">
        <f>I76+1280</f>
        <v>119070</v>
      </c>
      <c r="K76" s="5">
        <v>112923</v>
      </c>
      <c r="L76" s="5">
        <f>K76+1180</f>
        <v>114103</v>
      </c>
      <c r="M76" s="6">
        <v>28270</v>
      </c>
      <c r="N76" s="6">
        <f t="shared" si="9"/>
        <v>28534</v>
      </c>
      <c r="O76" s="6">
        <f>N76-M76</f>
        <v>264</v>
      </c>
      <c r="P76" s="6">
        <f>O76/24</f>
        <v>11</v>
      </c>
      <c r="Q76" s="5">
        <f>(J76-I76)-(L76-K76)</f>
        <v>100</v>
      </c>
    </row>
    <row r="77" spans="1:17" ht="15">
      <c r="A77" s="1">
        <v>72</v>
      </c>
      <c r="B77" s="2" t="s">
        <v>66</v>
      </c>
      <c r="C77" s="3" t="s">
        <v>22</v>
      </c>
      <c r="D77" s="4">
        <v>42726</v>
      </c>
      <c r="E77" s="5">
        <v>914</v>
      </c>
      <c r="F77" s="4">
        <v>43100</v>
      </c>
      <c r="G77" s="5">
        <f>E77+19</f>
        <v>933</v>
      </c>
      <c r="H77" s="5">
        <f t="shared" si="10"/>
        <v>19</v>
      </c>
      <c r="I77" s="5">
        <v>96490</v>
      </c>
      <c r="J77" s="5">
        <f>I77+1710</f>
        <v>98200</v>
      </c>
      <c r="K77" s="5">
        <v>99230</v>
      </c>
      <c r="L77" s="5">
        <f>K77+1703</f>
        <v>100933</v>
      </c>
      <c r="M77" s="6">
        <v>20861</v>
      </c>
      <c r="N77" s="6">
        <f t="shared" si="9"/>
        <v>21125</v>
      </c>
      <c r="O77" s="6">
        <f aca="true" t="shared" si="11" ref="O77:O94">N77-M77</f>
        <v>264</v>
      </c>
      <c r="P77" s="6">
        <f aca="true" t="shared" si="12" ref="P77:P94">O77/24</f>
        <v>11</v>
      </c>
      <c r="Q77" s="5"/>
    </row>
    <row r="78" spans="1:17" ht="15">
      <c r="A78" s="1">
        <v>73</v>
      </c>
      <c r="B78" s="2" t="s">
        <v>66</v>
      </c>
      <c r="C78" s="3" t="s">
        <v>84</v>
      </c>
      <c r="D78" s="4">
        <v>42726</v>
      </c>
      <c r="E78" s="5">
        <v>597</v>
      </c>
      <c r="F78" s="4">
        <v>43100</v>
      </c>
      <c r="G78" s="5">
        <f>E78+9</f>
        <v>606</v>
      </c>
      <c r="H78" s="5">
        <f t="shared" si="10"/>
        <v>9</v>
      </c>
      <c r="I78" s="5">
        <v>46509</v>
      </c>
      <c r="J78" s="5">
        <f>I78+721</f>
        <v>47230</v>
      </c>
      <c r="K78" s="5">
        <v>41803</v>
      </c>
      <c r="L78" s="5">
        <f>K78+647</f>
        <v>42450</v>
      </c>
      <c r="M78" s="6">
        <v>17856</v>
      </c>
      <c r="N78" s="6">
        <f t="shared" si="9"/>
        <v>18120</v>
      </c>
      <c r="O78" s="6">
        <f>N78-M78</f>
        <v>264</v>
      </c>
      <c r="P78" s="6">
        <f>O78/24</f>
        <v>11</v>
      </c>
      <c r="Q78" s="5">
        <f>(J78-I78)-(L78-K78)</f>
        <v>74</v>
      </c>
    </row>
    <row r="79" spans="1:17" ht="15">
      <c r="A79" s="1">
        <v>74</v>
      </c>
      <c r="B79" s="2" t="s">
        <v>67</v>
      </c>
      <c r="C79" s="3" t="s">
        <v>22</v>
      </c>
      <c r="D79" s="4">
        <v>42726</v>
      </c>
      <c r="E79" s="5">
        <v>1819</v>
      </c>
      <c r="F79" s="4">
        <v>43100</v>
      </c>
      <c r="G79" s="5">
        <f>E79+29</f>
        <v>1848</v>
      </c>
      <c r="H79" s="5">
        <f t="shared" si="10"/>
        <v>29</v>
      </c>
      <c r="I79" s="5">
        <v>175811</v>
      </c>
      <c r="J79" s="5">
        <f>I79+2558</f>
        <v>178369</v>
      </c>
      <c r="K79" s="5">
        <v>177183</v>
      </c>
      <c r="L79" s="5">
        <f>K79+2527</f>
        <v>179710</v>
      </c>
      <c r="M79" s="6">
        <v>30964</v>
      </c>
      <c r="N79" s="6">
        <f t="shared" si="9"/>
        <v>31228</v>
      </c>
      <c r="O79" s="6">
        <f t="shared" si="11"/>
        <v>264</v>
      </c>
      <c r="P79" s="6">
        <f t="shared" si="12"/>
        <v>11</v>
      </c>
      <c r="Q79" s="5"/>
    </row>
    <row r="80" spans="1:17" ht="15">
      <c r="A80" s="1">
        <v>75</v>
      </c>
      <c r="B80" s="2" t="s">
        <v>67</v>
      </c>
      <c r="C80" s="3" t="s">
        <v>84</v>
      </c>
      <c r="D80" s="4">
        <v>42726</v>
      </c>
      <c r="E80" s="5">
        <v>1645</v>
      </c>
      <c r="F80" s="4">
        <v>43100</v>
      </c>
      <c r="G80" s="5">
        <f>E80+17</f>
        <v>1662</v>
      </c>
      <c r="H80" s="5">
        <f t="shared" si="10"/>
        <v>17</v>
      </c>
      <c r="I80" s="5">
        <v>85628</v>
      </c>
      <c r="J80" s="5">
        <f>I80+1054</f>
        <v>86682</v>
      </c>
      <c r="K80" s="5">
        <v>70107</v>
      </c>
      <c r="L80" s="5">
        <f>K80+900</f>
        <v>71007</v>
      </c>
      <c r="M80" s="6">
        <v>30964</v>
      </c>
      <c r="N80" s="6">
        <f t="shared" si="9"/>
        <v>31228</v>
      </c>
      <c r="O80" s="6">
        <f>N80-M80</f>
        <v>264</v>
      </c>
      <c r="P80" s="6">
        <f>O80/24</f>
        <v>11</v>
      </c>
      <c r="Q80" s="5">
        <f>(J80-I80)-(L80-K80)</f>
        <v>154</v>
      </c>
    </row>
    <row r="81" spans="1:17" ht="15">
      <c r="A81" s="1">
        <v>76</v>
      </c>
      <c r="B81" s="2" t="s">
        <v>68</v>
      </c>
      <c r="C81" s="3" t="s">
        <v>22</v>
      </c>
      <c r="D81" s="4">
        <v>42726</v>
      </c>
      <c r="E81" s="5">
        <v>1120</v>
      </c>
      <c r="F81" s="4">
        <v>43100</v>
      </c>
      <c r="G81" s="5">
        <f>E81+44</f>
        <v>1164</v>
      </c>
      <c r="H81" s="5">
        <f t="shared" si="10"/>
        <v>44</v>
      </c>
      <c r="I81" s="5">
        <v>88799</v>
      </c>
      <c r="J81" s="5">
        <f>I81+3403</f>
        <v>92202</v>
      </c>
      <c r="K81" s="5">
        <v>89289</v>
      </c>
      <c r="L81" s="5">
        <f>K81+3418</f>
        <v>92707</v>
      </c>
      <c r="M81" s="6">
        <v>13419</v>
      </c>
      <c r="N81" s="6">
        <f t="shared" si="9"/>
        <v>13683</v>
      </c>
      <c r="O81" s="6">
        <f t="shared" si="11"/>
        <v>264</v>
      </c>
      <c r="P81" s="6">
        <f t="shared" si="12"/>
        <v>11</v>
      </c>
      <c r="Q81" s="5"/>
    </row>
    <row r="82" spans="1:17" ht="14.25" customHeight="1">
      <c r="A82" s="1">
        <v>77</v>
      </c>
      <c r="B82" s="2" t="s">
        <v>69</v>
      </c>
      <c r="C82" s="3" t="s">
        <v>22</v>
      </c>
      <c r="D82" s="4">
        <v>42726</v>
      </c>
      <c r="E82" s="5">
        <v>868</v>
      </c>
      <c r="F82" s="4">
        <v>43100</v>
      </c>
      <c r="G82" s="5">
        <f>E82+34</f>
        <v>902</v>
      </c>
      <c r="H82" s="5">
        <f t="shared" si="10"/>
        <v>34</v>
      </c>
      <c r="I82" s="5">
        <v>73667</v>
      </c>
      <c r="J82" s="5">
        <f>I82+2799</f>
        <v>76466</v>
      </c>
      <c r="K82" s="5">
        <v>74413</v>
      </c>
      <c r="L82" s="5">
        <f>K82+2824</f>
        <v>77237</v>
      </c>
      <c r="M82" s="6">
        <v>13423</v>
      </c>
      <c r="N82" s="6">
        <f t="shared" si="9"/>
        <v>13687</v>
      </c>
      <c r="O82" s="6">
        <f t="shared" si="11"/>
        <v>264</v>
      </c>
      <c r="P82" s="6">
        <f t="shared" si="12"/>
        <v>11</v>
      </c>
      <c r="Q82" s="5"/>
    </row>
    <row r="83" spans="1:17" ht="15" customHeight="1">
      <c r="A83" s="1">
        <v>78</v>
      </c>
      <c r="B83" s="2" t="s">
        <v>78</v>
      </c>
      <c r="C83" s="3" t="s">
        <v>22</v>
      </c>
      <c r="D83" s="4">
        <v>42726</v>
      </c>
      <c r="E83" s="5">
        <v>184</v>
      </c>
      <c r="F83" s="4">
        <v>43100</v>
      </c>
      <c r="G83" s="5">
        <f>E83+22</f>
        <v>206</v>
      </c>
      <c r="H83" s="5">
        <f t="shared" si="10"/>
        <v>22</v>
      </c>
      <c r="I83" s="5">
        <v>15835</v>
      </c>
      <c r="J83" s="5">
        <f>I83+1884</f>
        <v>17719</v>
      </c>
      <c r="K83" s="5"/>
      <c r="L83" s="5"/>
      <c r="M83" s="6">
        <v>3672</v>
      </c>
      <c r="N83" s="6">
        <f t="shared" si="9"/>
        <v>3936</v>
      </c>
      <c r="O83" s="6">
        <f t="shared" si="11"/>
        <v>264</v>
      </c>
      <c r="P83" s="6">
        <f t="shared" si="12"/>
        <v>11</v>
      </c>
      <c r="Q83" s="5"/>
    </row>
    <row r="84" spans="1:17" ht="15" customHeight="1">
      <c r="A84" s="1">
        <v>79</v>
      </c>
      <c r="B84" s="2" t="s">
        <v>78</v>
      </c>
      <c r="C84" s="3" t="s">
        <v>84</v>
      </c>
      <c r="D84" s="4">
        <v>42726</v>
      </c>
      <c r="E84" s="5" t="s">
        <v>86</v>
      </c>
      <c r="F84" s="4">
        <v>43100</v>
      </c>
      <c r="G84" s="5"/>
      <c r="H84" s="5"/>
      <c r="I84" s="5"/>
      <c r="J84" s="5"/>
      <c r="K84" s="5"/>
      <c r="L84" s="5"/>
      <c r="M84" s="6"/>
      <c r="N84" s="6"/>
      <c r="O84" s="6"/>
      <c r="P84" s="6"/>
      <c r="Q84" s="5"/>
    </row>
    <row r="85" spans="1:17" ht="15" customHeight="1">
      <c r="A85" s="1">
        <v>80</v>
      </c>
      <c r="B85" s="2" t="s">
        <v>70</v>
      </c>
      <c r="C85" s="3" t="s">
        <v>22</v>
      </c>
      <c r="D85" s="4">
        <v>42726</v>
      </c>
      <c r="E85" s="5">
        <v>274</v>
      </c>
      <c r="F85" s="4">
        <v>43100</v>
      </c>
      <c r="G85" s="5">
        <f>E85+34</f>
        <v>308</v>
      </c>
      <c r="H85" s="5">
        <f t="shared" si="10"/>
        <v>34</v>
      </c>
      <c r="I85" s="5">
        <v>23882</v>
      </c>
      <c r="J85" s="5">
        <f>I85+2845</f>
        <v>26727</v>
      </c>
      <c r="K85" s="5">
        <v>23534</v>
      </c>
      <c r="L85" s="5">
        <f>K85+2802</f>
        <v>26336</v>
      </c>
      <c r="M85" s="5">
        <v>4823</v>
      </c>
      <c r="N85" s="5">
        <f aca="true" t="shared" si="13" ref="N85:N90">M85+264</f>
        <v>5087</v>
      </c>
      <c r="O85" s="6">
        <f t="shared" si="11"/>
        <v>264</v>
      </c>
      <c r="P85" s="6">
        <f t="shared" si="12"/>
        <v>11</v>
      </c>
      <c r="Q85" s="5"/>
    </row>
    <row r="86" spans="1:17" ht="15.75" customHeight="1">
      <c r="A86" s="1">
        <v>81</v>
      </c>
      <c r="B86" s="2" t="s">
        <v>71</v>
      </c>
      <c r="C86" s="3" t="s">
        <v>22</v>
      </c>
      <c r="D86" s="4">
        <v>42726</v>
      </c>
      <c r="E86" s="5">
        <v>1601</v>
      </c>
      <c r="F86" s="4">
        <v>43100</v>
      </c>
      <c r="G86" s="5">
        <f>E86+25</f>
        <v>1626</v>
      </c>
      <c r="H86" s="5">
        <f t="shared" si="10"/>
        <v>25</v>
      </c>
      <c r="I86" s="5">
        <v>178036</v>
      </c>
      <c r="J86" s="5">
        <f>I86+2839</f>
        <v>180875</v>
      </c>
      <c r="K86" s="5">
        <v>178651</v>
      </c>
      <c r="L86" s="5">
        <f>K86+2863</f>
        <v>181514</v>
      </c>
      <c r="M86" s="6">
        <v>31277</v>
      </c>
      <c r="N86" s="6">
        <f t="shared" si="13"/>
        <v>31541</v>
      </c>
      <c r="O86" s="6">
        <f t="shared" si="11"/>
        <v>264</v>
      </c>
      <c r="P86" s="6">
        <f t="shared" si="12"/>
        <v>11</v>
      </c>
      <c r="Q86" s="5"/>
    </row>
    <row r="87" spans="1:17" ht="15.75" customHeight="1">
      <c r="A87" s="1">
        <v>82</v>
      </c>
      <c r="B87" s="2" t="s">
        <v>72</v>
      </c>
      <c r="C87" s="3" t="s">
        <v>22</v>
      </c>
      <c r="D87" s="4">
        <v>42726</v>
      </c>
      <c r="E87" s="5">
        <v>1817</v>
      </c>
      <c r="F87" s="4">
        <v>43100</v>
      </c>
      <c r="G87" s="5">
        <f>E87+29</f>
        <v>1846</v>
      </c>
      <c r="H87" s="5">
        <f t="shared" si="10"/>
        <v>29</v>
      </c>
      <c r="I87" s="5">
        <v>196019</v>
      </c>
      <c r="J87" s="5">
        <f>I87+3263</f>
        <v>199282</v>
      </c>
      <c r="K87" s="5">
        <v>196391</v>
      </c>
      <c r="L87" s="5">
        <f>K87+3242</f>
        <v>199633</v>
      </c>
      <c r="M87" s="6">
        <v>31370</v>
      </c>
      <c r="N87" s="6">
        <f t="shared" si="13"/>
        <v>31634</v>
      </c>
      <c r="O87" s="6">
        <f t="shared" si="11"/>
        <v>264</v>
      </c>
      <c r="P87" s="6">
        <f t="shared" si="12"/>
        <v>11</v>
      </c>
      <c r="Q87" s="5"/>
    </row>
    <row r="88" spans="1:17" ht="15.75" customHeight="1">
      <c r="A88" s="1">
        <v>83</v>
      </c>
      <c r="B88" s="2" t="s">
        <v>73</v>
      </c>
      <c r="C88" s="3" t="s">
        <v>22</v>
      </c>
      <c r="D88" s="4">
        <v>42726</v>
      </c>
      <c r="E88" s="5">
        <v>1186</v>
      </c>
      <c r="F88" s="4">
        <v>43100</v>
      </c>
      <c r="G88" s="5">
        <f>E88+29</f>
        <v>1215</v>
      </c>
      <c r="H88" s="5">
        <f t="shared" si="10"/>
        <v>29</v>
      </c>
      <c r="I88" s="5">
        <v>114152</v>
      </c>
      <c r="J88" s="5">
        <f>I88+2600</f>
        <v>116752</v>
      </c>
      <c r="K88" s="5">
        <v>109098</v>
      </c>
      <c r="L88" s="5">
        <f>K88+2564</f>
        <v>111662</v>
      </c>
      <c r="M88" s="6">
        <v>21840</v>
      </c>
      <c r="N88" s="6">
        <f t="shared" si="13"/>
        <v>22104</v>
      </c>
      <c r="O88" s="6">
        <f t="shared" si="11"/>
        <v>264</v>
      </c>
      <c r="P88" s="6">
        <f t="shared" si="12"/>
        <v>11</v>
      </c>
      <c r="Q88" s="5"/>
    </row>
    <row r="89" spans="1:17" ht="15.75" customHeight="1">
      <c r="A89" s="1">
        <v>84</v>
      </c>
      <c r="B89" s="2" t="s">
        <v>73</v>
      </c>
      <c r="C89" s="3" t="s">
        <v>84</v>
      </c>
      <c r="D89" s="4">
        <v>42726</v>
      </c>
      <c r="E89" s="5">
        <v>879</v>
      </c>
      <c r="F89" s="4">
        <v>43100</v>
      </c>
      <c r="G89" s="5">
        <f>E89+10</f>
        <v>889</v>
      </c>
      <c r="H89" s="5">
        <f t="shared" si="10"/>
        <v>10</v>
      </c>
      <c r="I89" s="5">
        <v>53380</v>
      </c>
      <c r="J89" s="5">
        <f>I89+744</f>
        <v>54124</v>
      </c>
      <c r="K89" s="5">
        <v>42540</v>
      </c>
      <c r="L89" s="5">
        <f>K89+639</f>
        <v>43179</v>
      </c>
      <c r="M89" s="5">
        <v>21840</v>
      </c>
      <c r="N89" s="5">
        <f t="shared" si="13"/>
        <v>22104</v>
      </c>
      <c r="O89" s="6">
        <f>N89-M89</f>
        <v>264</v>
      </c>
      <c r="P89" s="6">
        <f>O89/24</f>
        <v>11</v>
      </c>
      <c r="Q89" s="5">
        <f>(J89-I89)-(L89-K89)</f>
        <v>105</v>
      </c>
    </row>
    <row r="90" spans="1:17" ht="15.75" customHeight="1">
      <c r="A90" s="1">
        <v>85</v>
      </c>
      <c r="B90" s="2" t="s">
        <v>74</v>
      </c>
      <c r="C90" s="3" t="s">
        <v>22</v>
      </c>
      <c r="D90" s="4">
        <v>42726</v>
      </c>
      <c r="E90" s="5">
        <v>1118</v>
      </c>
      <c r="F90" s="4">
        <v>43100</v>
      </c>
      <c r="G90" s="5">
        <f>E90+24</f>
        <v>1142</v>
      </c>
      <c r="H90" s="5">
        <f t="shared" si="10"/>
        <v>24</v>
      </c>
      <c r="I90" s="5">
        <v>88523</v>
      </c>
      <c r="J90" s="5">
        <f>I90+1613</f>
        <v>90136</v>
      </c>
      <c r="K90" s="5">
        <v>56337</v>
      </c>
      <c r="L90" s="5">
        <f>K90+1635</f>
        <v>57972</v>
      </c>
      <c r="M90" s="6">
        <v>22525</v>
      </c>
      <c r="N90" s="6">
        <f t="shared" si="13"/>
        <v>22789</v>
      </c>
      <c r="O90" s="6">
        <f t="shared" si="11"/>
        <v>264</v>
      </c>
      <c r="P90" s="6">
        <f t="shared" si="12"/>
        <v>11</v>
      </c>
      <c r="Q90" s="5"/>
    </row>
    <row r="91" spans="1:17" ht="15">
      <c r="A91" s="1">
        <v>86</v>
      </c>
      <c r="B91" s="2" t="s">
        <v>77</v>
      </c>
      <c r="C91" s="3" t="s">
        <v>22</v>
      </c>
      <c r="D91" s="4">
        <v>42726</v>
      </c>
      <c r="E91" s="5">
        <v>3924</v>
      </c>
      <c r="F91" s="4">
        <v>43100</v>
      </c>
      <c r="G91" s="5">
        <v>3950</v>
      </c>
      <c r="H91" s="5">
        <f t="shared" si="10"/>
        <v>26</v>
      </c>
      <c r="I91" s="5">
        <v>420175</v>
      </c>
      <c r="J91" s="5">
        <v>423436</v>
      </c>
      <c r="K91" s="5"/>
      <c r="L91" s="5"/>
      <c r="M91" s="6">
        <v>52159</v>
      </c>
      <c r="N91" s="6">
        <v>52407</v>
      </c>
      <c r="O91" s="6">
        <f t="shared" si="11"/>
        <v>248</v>
      </c>
      <c r="P91" s="6">
        <f t="shared" si="12"/>
        <v>10.333333333333334</v>
      </c>
      <c r="Q91" s="5"/>
    </row>
    <row r="92" spans="1:17" ht="15" customHeight="1">
      <c r="A92" s="1">
        <v>87</v>
      </c>
      <c r="B92" s="2" t="s">
        <v>76</v>
      </c>
      <c r="C92" s="3" t="s">
        <v>22</v>
      </c>
      <c r="D92" s="4">
        <v>42726</v>
      </c>
      <c r="E92" s="6">
        <v>136</v>
      </c>
      <c r="F92" s="4">
        <v>43100</v>
      </c>
      <c r="G92" s="6">
        <f>E92+5</f>
        <v>141</v>
      </c>
      <c r="H92" s="5">
        <f t="shared" si="10"/>
        <v>5</v>
      </c>
      <c r="I92" s="6">
        <v>12206</v>
      </c>
      <c r="J92" s="6">
        <f>I92+435</f>
        <v>12641</v>
      </c>
      <c r="K92" s="6">
        <v>12397</v>
      </c>
      <c r="L92" s="6">
        <f>K92+441</f>
        <v>12838</v>
      </c>
      <c r="M92" s="6">
        <v>13420</v>
      </c>
      <c r="N92" s="6">
        <f>M92+264</f>
        <v>13684</v>
      </c>
      <c r="O92" s="6">
        <f t="shared" si="11"/>
        <v>264</v>
      </c>
      <c r="P92" s="6">
        <f t="shared" si="12"/>
        <v>11</v>
      </c>
      <c r="Q92" s="5"/>
    </row>
    <row r="93" spans="1:17" ht="15.75" customHeight="1">
      <c r="A93" s="1">
        <v>88</v>
      </c>
      <c r="B93" s="2" t="s">
        <v>80</v>
      </c>
      <c r="C93" s="3" t="s">
        <v>22</v>
      </c>
      <c r="D93" s="4">
        <v>42726</v>
      </c>
      <c r="E93" s="6">
        <v>159</v>
      </c>
      <c r="F93" s="4">
        <v>43100</v>
      </c>
      <c r="G93" s="6">
        <v>177</v>
      </c>
      <c r="H93" s="5">
        <f t="shared" si="10"/>
        <v>18</v>
      </c>
      <c r="I93" s="5">
        <v>20768</v>
      </c>
      <c r="J93" s="5">
        <v>23062</v>
      </c>
      <c r="K93" s="6"/>
      <c r="L93" s="6"/>
      <c r="M93" s="5">
        <v>2827</v>
      </c>
      <c r="N93" s="5">
        <v>3070</v>
      </c>
      <c r="O93" s="6">
        <f t="shared" si="11"/>
        <v>243</v>
      </c>
      <c r="P93" s="6">
        <f t="shared" si="12"/>
        <v>10.125</v>
      </c>
      <c r="Q93" s="5"/>
    </row>
    <row r="94" spans="1:17" ht="16.5" customHeight="1">
      <c r="A94" s="1">
        <v>89</v>
      </c>
      <c r="B94" s="2" t="s">
        <v>75</v>
      </c>
      <c r="C94" s="3" t="s">
        <v>22</v>
      </c>
      <c r="D94" s="4">
        <v>42726</v>
      </c>
      <c r="E94" s="5">
        <v>1099</v>
      </c>
      <c r="F94" s="4">
        <v>43100</v>
      </c>
      <c r="G94" s="5">
        <f>E94+24</f>
        <v>1123</v>
      </c>
      <c r="H94" s="5">
        <f t="shared" si="10"/>
        <v>24</v>
      </c>
      <c r="I94" s="5">
        <v>141646</v>
      </c>
      <c r="J94" s="5">
        <f>I94+3025</f>
        <v>144671</v>
      </c>
      <c r="K94" s="5">
        <v>142214</v>
      </c>
      <c r="L94" s="5">
        <f>K94+3021</f>
        <v>145235</v>
      </c>
      <c r="M94" s="6">
        <v>22524</v>
      </c>
      <c r="N94" s="6">
        <f>M94+264</f>
        <v>22788</v>
      </c>
      <c r="O94" s="6">
        <f t="shared" si="11"/>
        <v>264</v>
      </c>
      <c r="P94" s="6">
        <f t="shared" si="12"/>
        <v>11</v>
      </c>
      <c r="Q94" s="5"/>
    </row>
    <row r="95" spans="3:14" ht="24.75" customHeight="1">
      <c r="C95" s="12" t="s">
        <v>83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3:14" ht="23.25" customHeight="1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3:14" ht="24.75" customHeight="1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3:14" ht="15.75" customHeight="1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3:14" ht="1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28" ht="15" customHeight="1"/>
  </sheetData>
  <sheetProtection/>
  <mergeCells count="24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C95:N99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2016-11-23T12:21:38Z</cp:lastPrinted>
  <dcterms:created xsi:type="dcterms:W3CDTF">2011-12-05T20:30:31Z</dcterms:created>
  <dcterms:modified xsi:type="dcterms:W3CDTF">2017-02-06T07:06:42Z</dcterms:modified>
  <cp:category/>
  <cp:version/>
  <cp:contentType/>
  <cp:contentStatus/>
</cp:coreProperties>
</file>